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ILHA ORÇ." sheetId="1" r:id="rId1"/>
    <sheet name="M Cálculo" sheetId="2" r:id="rId2"/>
    <sheet name="Cron. FF" sheetId="3" r:id="rId3"/>
  </sheets>
  <definedNames>
    <definedName name="_xlnm.Print_Area" localSheetId="2">'Cron. FF'!$A$1:$P$50</definedName>
    <definedName name="_xlnm.Print_Area" localSheetId="1">'M Cálculo'!$A$1:$G$273</definedName>
    <definedName name="_xlnm.Print_Area" localSheetId="0">'PLANILHA ORÇ.'!$A$1:$J$294</definedName>
    <definedName name="_xlnm.Print_Titles" localSheetId="1">'M Cálculo'!$1:$7</definedName>
    <definedName name="_xlnm.Print_Titles" localSheetId="0">'PLANILHA ORÇ.'!$1:$7</definedName>
  </definedNames>
  <calcPr fullCalcOnLoad="1"/>
</workbook>
</file>

<file path=xl/sharedStrings.xml><?xml version="1.0" encoding="utf-8"?>
<sst xmlns="http://schemas.openxmlformats.org/spreadsheetml/2006/main" count="1912" uniqueCount="645">
  <si>
    <t>Item</t>
  </si>
  <si>
    <t>Especificação do Serviço</t>
  </si>
  <si>
    <t>'01</t>
  </si>
  <si>
    <t>SERVIÇOS PRELIMINARES</t>
  </si>
  <si>
    <t>und</t>
  </si>
  <si>
    <t>Locação de obra com gabarito de madeira</t>
  </si>
  <si>
    <t>m2</t>
  </si>
  <si>
    <t>TOTAL DO ITEM 01</t>
  </si>
  <si>
    <t>'02</t>
  </si>
  <si>
    <t>INSTALAÇÃO DO CANTEIRO DE OBRAS</t>
  </si>
  <si>
    <t>TAPUMES, BARRACÕES E COBERTURAS</t>
  </si>
  <si>
    <t>Placa de obra nas dimensões de 2.0 x 4.0 m, padrão IOPES</t>
  </si>
  <si>
    <t>Tapume Telha Metálica Ondulada 0,50mm Branca h=2,20m, incl. montagem estr. mad. 8"x8", c/adesivo "IOPES" 60x60cm a cada 10m, incl. faixas pint. esmalte sint. cores azul c/ h=30cm e rosa c/ h=10cm (Reaproveitamento 2x)</t>
  </si>
  <si>
    <t>m</t>
  </si>
  <si>
    <t>INSTALAÇÃO DO CANTEIRO DE OBRAS (UTILIZAÇÃO 1 VEZ), PROJETO PADRÃO LABOR - NR.18 (OBRAS COM PRAZO DE EXECUÇÃO SUPERIOR A 12 MESES)</t>
  </si>
  <si>
    <t>TOTAL DO ITEM 02</t>
  </si>
  <si>
    <t>'03</t>
  </si>
  <si>
    <t>MOVIMENTO DE TERRA</t>
  </si>
  <si>
    <t>'0301</t>
  </si>
  <si>
    <t>ESCAVAÇÕES</t>
  </si>
  <si>
    <t>Escavação manual em material de 1a. categoria, até 1.50 m de profundidade</t>
  </si>
  <si>
    <t>m3</t>
  </si>
  <si>
    <t>Apiloamento do fundo de vala com maço de 30 a 60kg</t>
  </si>
  <si>
    <t>'0302</t>
  </si>
  <si>
    <t>REATERRO E COMPACTAÇÃO</t>
  </si>
  <si>
    <t>Reaterro apiloado de cavas de fundação, em camadas de 20 cm</t>
  </si>
  <si>
    <t>'0303</t>
  </si>
  <si>
    <t>TRANSPORTES</t>
  </si>
  <si>
    <t>Índice de preço para remoção de entulho decorrente da execução de obras (Classe A CONAMA - NBR 10.004 - Classe II-B), incluindo aluguel da caçamba, carga, transporte e descarga em área licenciada</t>
  </si>
  <si>
    <t>TOTAL DO ITEM 03</t>
  </si>
  <si>
    <t>'04</t>
  </si>
  <si>
    <t>ESTRUTURAS</t>
  </si>
  <si>
    <t>INFRA-ESTRUTURA (FUNDAÇÃO)</t>
  </si>
  <si>
    <t>Fornecimento, dobragem e colocação em fôrma, de armadura CA-50 A média, diâmetro de 6.3 a 10.0 mm</t>
  </si>
  <si>
    <t>kg</t>
  </si>
  <si>
    <t>Fornecimento, dobragem e colocação em fôrma, de armadura CA-60 B fina, diâmetro de 4.0 a 7.0mm</t>
  </si>
  <si>
    <t>TOTAL DO ITEM 04</t>
  </si>
  <si>
    <t>'05</t>
  </si>
  <si>
    <t>PAREDES E PAINÉIS</t>
  </si>
  <si>
    <t>'0501</t>
  </si>
  <si>
    <t>ALVENARIA DE VEDAÇÃO</t>
  </si>
  <si>
    <t>'0502</t>
  </si>
  <si>
    <t>PLACAS E PAINÉIS DIVISÓRIOS</t>
  </si>
  <si>
    <t>Divisória de granito com 3 cm de espessura, assentada com argamassa de cimento e areia no traço 1:3, na cor cinza</t>
  </si>
  <si>
    <t>'0503</t>
  </si>
  <si>
    <t>VERGAS/CONTRAVERGA</t>
  </si>
  <si>
    <t>Verga/contraverga reta de concreto armado 10 x 5 cm, Fck = 15 MPa, inclusive forma, armação e desforma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</si>
  <si>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</si>
  <si>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TOTAL DO ITEM 05</t>
  </si>
  <si>
    <t>ESQUADRIAS METÁLICAS</t>
  </si>
  <si>
    <t>GRADES E PORTÕES</t>
  </si>
  <si>
    <t>ESQUADRIAS METÁLICAS (M2), ALUMÍNIO.</t>
  </si>
  <si>
    <t>Báscula para vidro em alumínio anodizado cor natural, linha 25, completa, com tranca, caixilho, alizar e contramarco, exclusive vidro</t>
  </si>
  <si>
    <t>Porta de abrir tipo veneziana em alumínio anodizado, linha 25, completa, incl. puxador com tranca, caixilho, alizar e contramarco.</t>
  </si>
  <si>
    <t>TOTAL DO ITEM 07</t>
  </si>
  <si>
    <t>08</t>
  </si>
  <si>
    <t>ESPELHOS</t>
  </si>
  <si>
    <t>TOTAL DO ITEM 08</t>
  </si>
  <si>
    <t>COBERTURA</t>
  </si>
  <si>
    <t>ESTRUTURA PARA TELHADO</t>
  </si>
  <si>
    <t>TELHADO</t>
  </si>
  <si>
    <t>'0903</t>
  </si>
  <si>
    <t>RUFOS E CALHAS</t>
  </si>
  <si>
    <t>TOTAL DO ITEM 09</t>
  </si>
  <si>
    <t>IMPERMEABILIZAÇÃO</t>
  </si>
  <si>
    <t>'1002</t>
  </si>
  <si>
    <t>IMPERMEABILIZAÇÃO CALHAS, LAJES DESCOBERTAS, BALDRAMES, PAREDES E JARDINEIRAS</t>
  </si>
  <si>
    <t>Pintura impermeabilizante com igolflex ou equivalente a 3 demãos ( baldrames)</t>
  </si>
  <si>
    <t>TOTAL DO ITEM 10</t>
  </si>
  <si>
    <t>TETOS E FORROS</t>
  </si>
  <si>
    <t>REVESTIMENTO COM ARGAMASSA</t>
  </si>
  <si>
    <t>REBAIXAMENTOS</t>
  </si>
  <si>
    <t>Forro de gesso acabamento tipo liso</t>
  </si>
  <si>
    <t>TOTAL DO ITEM 11</t>
  </si>
  <si>
    <t>REVESTIMENTO DE PAREDES</t>
  </si>
  <si>
    <t>'1201</t>
  </si>
  <si>
    <t>Chapisco de argamassa de cimento e areia média ou grossa lavada, no traço 1:3, espessura 5 mm</t>
  </si>
  <si>
    <t>'1202</t>
  </si>
  <si>
    <t>ACABAMENTOS</t>
  </si>
  <si>
    <t>Cerâmica retificada, acabamento brilhante, dim. 32x44cm, ref. de cor OVIEDO PURO BRANCO Biancogres/equiv. assentado com argamassa de cimento colante, inclusive rejuntamento com argamassa pre-fabricada para rejunte</t>
  </si>
  <si>
    <t>'1203</t>
  </si>
  <si>
    <t>REVESTIMENTO EMPREGANDO ARGAMASSA DE CIMENTO, CAL E AREIA</t>
  </si>
  <si>
    <t>Reboco tipo paulista de argamassa de cimento, cal hidratada CH1 e areia média ou grossa lavada no traço 1:0.5:6, espessura 25 mm.</t>
  </si>
  <si>
    <t>TOTAL DO ITEM 12</t>
  </si>
  <si>
    <t>PISOS INTERNOS E EXTERNOS</t>
  </si>
  <si>
    <t>Lastro regularizado de concreto não estrutural, espessura de 8 cm</t>
  </si>
  <si>
    <t>'1302</t>
  </si>
  <si>
    <t>Piso cerâmico 45x45cm, PEI 5, Cargo Plus Gray, marcas de referência Eliane, Cecrisa ou Portobello, assentado com argamassa de cimento colante, inclusive rejuntamento</t>
  </si>
  <si>
    <t>'1303</t>
  </si>
  <si>
    <t>DEGRAUS, RODAPÉS, SOLEIRAS E PEITORIS</t>
  </si>
  <si>
    <t xml:space="preserve">Soleira de granito cinza, espessura 2 cm e largura de 15 cm, conforme detalhe em projeto
</t>
  </si>
  <si>
    <t>TOTAL DO ITEM 13</t>
  </si>
  <si>
    <t>INSTALAÇÕES HIDRO-SANITÁRIAS</t>
  </si>
  <si>
    <t>ENTRADA DE ÁGUA</t>
  </si>
  <si>
    <t>Padrão de entrada d'água com caixa termoplástica para hidrômetro de 3/4" - padrão 1B da CESAN. Instalado embutido na alvenaria. Inclusive tubulação, conexões, registro, tubo camisa e caixa com tampa transparente. Conferir detalhe.</t>
  </si>
  <si>
    <t>Mureta p/ cavalete (Padrão 1B - CESAN) de alv. blocos cerâmicos 10x20x20cm deitados, dimensões 0.80x1.0x0.20m, para instalação de caixa termoplastica, incl revest. em reboco e lastro concreto esp. 10cm, exclusive caixa e cavalete</t>
  </si>
  <si>
    <t>PONTOS HIDRO-SANITÁRIOS</t>
  </si>
  <si>
    <t>pt</t>
  </si>
  <si>
    <t>Ponto para caixa sifonada, inclusive caixa sifonada pvc 150x150x50mm com grelha em pvc</t>
  </si>
  <si>
    <t>CAIXAS EMPREGANDO ARGAMASSA DE CIMENTO, CAL E AREIA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</si>
  <si>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</si>
  <si>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</si>
  <si>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REDE DE ÁGUA FRIA - TUBOS SOLDÁVEIS DE PVC</t>
  </si>
  <si>
    <t>Tubo de PVC rígido soldável marrom, diâm. 25mm (3/4"), inclusive conexões</t>
  </si>
  <si>
    <t>REDE DE ESGOTO - TUBOS DE PVC</t>
  </si>
  <si>
    <t>Tubo de PVC rígido soldável branco, para esgoto, diâmetro 40mm (1 1/2"), inclusive conexões</t>
  </si>
  <si>
    <t>Tubo de PVC rígido soldável branco, para esgoto, diâmetro 50mm (2"), inclusive conexões</t>
  </si>
  <si>
    <t>Tubo de PVC rígido soldável branco, para esgoto, diâmetro 100mm (4"), inclusive conexões</t>
  </si>
  <si>
    <t>CAIXAS DE PVC / EQUIPAMENTOS</t>
  </si>
  <si>
    <t>TOTAL DO ITEM 14</t>
  </si>
  <si>
    <t>'15</t>
  </si>
  <si>
    <t>INSTALAÇÕES ELÉTRICAS</t>
  </si>
  <si>
    <t>'1501</t>
  </si>
  <si>
    <t>PADRÃO DE ENTRADA</t>
  </si>
  <si>
    <t>Mureta de medição utilizando arg. cimento, cal e areia, dimensões 1500x2200x400mm, revestido com chapisco e reboco, inclusive pintura emassamento, pintura acrílica a três demãos e cobertura em telha cerâmica</t>
  </si>
  <si>
    <t>QUADRO DE DISTRIBUIÇÃO</t>
  </si>
  <si>
    <t>COMPOSIÇÕES INTERMEDIÁRIAS P/ ELETRICA</t>
  </si>
  <si>
    <t>Fita isolante em rolo de 19mm x 20 m, número 33 Scoth ou equivalente</t>
  </si>
  <si>
    <t>ELETRODUTOS E CONEXÕES</t>
  </si>
  <si>
    <t>FIOS E CABOS</t>
  </si>
  <si>
    <t>Fio de cobre termoplástico, com isolamento para 750V, seção de 2.5 mm2</t>
  </si>
  <si>
    <t>Fio ou cabo de cobre termoplástico, com isolamento para 750V, seção de 4.0 mm2</t>
  </si>
  <si>
    <t>Fio ou cabo de cobre termoplástico, com isolamento para 750V, seção de 10.0 mm2</t>
  </si>
  <si>
    <t>Fio ou cabo de cobre termoplástico, com isolamento para 750V, seção de 16.0 mm2</t>
  </si>
  <si>
    <t>PADRAO DE ENTRADA DE ENERGIA - NORTEC-01 - ESCELSA</t>
  </si>
  <si>
    <t>TOTAL DO ITEM 15</t>
  </si>
  <si>
    <t>OUTRAS INSTALAÇÕES</t>
  </si>
  <si>
    <t>'1601</t>
  </si>
  <si>
    <t>INSTALAÇÃO DE TELEFONE</t>
  </si>
  <si>
    <t>Aterramento com haste de terra 5/8"x2.40m, cabo de cobre nú 6mm2 em caixa de concreto de dimensões internas de 30x30x30cm</t>
  </si>
  <si>
    <t>Caixa de telefone em chapa de aço padrão TELEBRAS do tipo CIE-2 200x200x120mm</t>
  </si>
  <si>
    <t>Cabo telefônico CI, diâmetro do condutor 50mm, 30 pares</t>
  </si>
  <si>
    <t>Tomada para telefone com conector RJ 11</t>
  </si>
  <si>
    <t>TOTAL DO ITEM 16</t>
  </si>
  <si>
    <t>APARELHOS HIDRO-SANITÁRIOS</t>
  </si>
  <si>
    <t>'1701</t>
  </si>
  <si>
    <t>LOUÇAS</t>
  </si>
  <si>
    <t>Saboneteira de louça branca, 15x15cm, marcas de referência Deca, Celite ou Ideal Standard.</t>
  </si>
  <si>
    <t>Cabide de louça branca com 2 ganchos, marcas de referência Deca, Celite ou Ideal Standard</t>
  </si>
  <si>
    <t>Papeleira de louça branca, 15x15cm, marcas de referência Deca, Celite ou Ideal Standard.</t>
  </si>
  <si>
    <t>Bacia sifonada de louça branca com caixa acoplada, inclusive acessórios.</t>
  </si>
  <si>
    <t>'1702</t>
  </si>
  <si>
    <t>BANCADAS</t>
  </si>
  <si>
    <t>Bancada de granito com espessura de 2 cm.</t>
  </si>
  <si>
    <t>'1703</t>
  </si>
  <si>
    <t>TORNEIRAS, REGISTROS, VÁLVULAS E METAIS</t>
  </si>
  <si>
    <t>Torneira pressão cromada diâm. 1/2" para lavatório, marcas de referência Fabrimar, Deca ou Docol</t>
  </si>
  <si>
    <t>Torneira para tanque, marcas de referência Fabrimar, Deca ou Docol.</t>
  </si>
  <si>
    <t>OUTROS APARELHOS</t>
  </si>
  <si>
    <t>Cuba de aço inox n° 1(dim.460x300x150)mm, marcas de referência Franke, Strake, tramontina, inclusive válvula de metal 31/2" e sifão cromado 1 x 1/2", excl. torneira</t>
  </si>
  <si>
    <t>Tanque em mármore sintético com 2 bojos, inclusive válvula e sifão em PVC</t>
  </si>
  <si>
    <t>TOTAL DO ITEM 17</t>
  </si>
  <si>
    <t>VENTILADORES</t>
  </si>
  <si>
    <t>Ventilador de teto base madeira sem alojamento para luminária, ref. Tron ou equivalente, com comando de interruptor simples, sem dimer para regulagem de velocidade.</t>
  </si>
  <si>
    <t>Campainha tipo timbre Pial, cod. 412.77 ou equivalente</t>
  </si>
  <si>
    <t>Chuveiro elétrico tipo ducha Lorenzet ou Corona</t>
  </si>
  <si>
    <t>TOTAL DO ITEM 18</t>
  </si>
  <si>
    <t>PINTURA</t>
  </si>
  <si>
    <t>'1901</t>
  </si>
  <si>
    <t>SOBRE PAREDES E FORROS</t>
  </si>
  <si>
    <t>Emassamento de paredes e forros, com duas demãos de massa acrílica, marcas de referência Suvinil, Coral ou Metalatex</t>
  </si>
  <si>
    <t>Pintura com tinta acrílica, marcas de referência Suvinil, Coral ou Metalatex, inclusive selador acrílico, em paredes e forros, a três demãos</t>
  </si>
  <si>
    <t>Selador acrílico a uma demão, marcas de referência Suvinil, Coral ou Metalatex</t>
  </si>
  <si>
    <t>TOTAL DO ITEM 19</t>
  </si>
  <si>
    <t>SERVIÇOS COMPLEMENTARES EXTERNOS</t>
  </si>
  <si>
    <t>MUROS E FECHAMENTOS</t>
  </si>
  <si>
    <t>M2</t>
  </si>
  <si>
    <t>'2004</t>
  </si>
  <si>
    <t>TRATAMENTO, CONSERVAÇÃO E LIMPEZA</t>
  </si>
  <si>
    <t>Limpeza geral da obra</t>
  </si>
  <si>
    <t>SERVIÇOS COMPLEMENTARES INTERNOS</t>
  </si>
  <si>
    <t>ARMÁRIOS E PRATELEIRAS</t>
  </si>
  <si>
    <t>DIVERSOS INTERNOS</t>
  </si>
  <si>
    <t>Alçapão de visita ao barrilete de chapa de madeira de lei medindo 60x60cm, inclusive dobradiça, marco, alizar e fechadura, emassamento e pintura.</t>
  </si>
  <si>
    <t>TOTAL GERAL DA OBRA</t>
  </si>
  <si>
    <t>GOVERNO DO ESTADO DO ESPÍRITO SANTO</t>
  </si>
  <si>
    <t>Secretaria de Estado dos Transportes e Obras Públicas</t>
  </si>
  <si>
    <t>Instituto de Obras Públicas do Espírito Santo - IOPES</t>
  </si>
  <si>
    <t>Tabela de Custos Unitários Referenciais para Licitações de Obras Públicas</t>
  </si>
  <si>
    <t>Janela de correr em alumínio anodizado cor natural, tipo veneziana, com grade, linha 25, completa, incl. puxador com tranca, alizar, caixilho e contramarco, exclusive vidro</t>
  </si>
  <si>
    <t>Grade de tela tipo mosquiteiro de arame galvanizado #18, fio 32, inclusive, requadro em cantoneira de ferro
1/8"x1/2"x1/2"</t>
  </si>
  <si>
    <t>Registro de gaveta bruto diam. 20mm (3/4")</t>
  </si>
  <si>
    <t>Filtro curto AP200, marca de referência Aqualar, inclusive refil(vela)</t>
  </si>
  <si>
    <t>1414</t>
  </si>
  <si>
    <t>Guichê/gradil em perfil L 1" e perfil T 3/4" em ferro, inclusive pintura em esmalte sintético, marca de referência SUVINIL</t>
  </si>
  <si>
    <t>Portão de ferro de correr em barra chata, inclusive chumbamento</t>
  </si>
  <si>
    <t>Vidro plano transparente liso, com 4 mm de espessura</t>
  </si>
  <si>
    <t>Muro de alvenaria de blocos cerâmicos 10x20x20cm, c/ pilares a cada 2 m, esp. 10cm e h=2.5m, revestido com chapisco, reboco e pintura acrílica a 2 demãos, incl. pilares, cintas e sapatas, empregando arg. cimento cal e areia</t>
  </si>
  <si>
    <t>M</t>
  </si>
  <si>
    <t>Prateleiras em granito cinza andorinha, esp. 2cm (despensa)</t>
  </si>
  <si>
    <t>UN</t>
  </si>
  <si>
    <t>UND</t>
  </si>
  <si>
    <t>Conforme Projeto</t>
  </si>
  <si>
    <t>PREFEITURA MUNICIPAL DE ECOPORANGA</t>
  </si>
  <si>
    <t>ITEM</t>
  </si>
  <si>
    <t>SERVIÇO</t>
  </si>
  <si>
    <t>VALORES DO ITEM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</si>
  <si>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</si>
  <si>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</si>
  <si>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</si>
  <si>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</si>
  <si>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</si>
  <si>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</si>
  <si>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</si>
  <si>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</si>
  <si>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R$</t>
  </si>
  <si>
    <t>%</t>
  </si>
  <si>
    <t>01</t>
  </si>
  <si>
    <t>02</t>
  </si>
  <si>
    <t>03</t>
  </si>
  <si>
    <t>04</t>
  </si>
  <si>
    <t>05</t>
  </si>
  <si>
    <t>06</t>
  </si>
  <si>
    <t>07</t>
  </si>
  <si>
    <t>VIDROS E ESPELHOS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</si>
  <si>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</si>
  <si>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</si>
  <si>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</si>
  <si>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</si>
  <si>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</si>
  <si>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</si>
  <si>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</si>
  <si>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</si>
  <si>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</si>
  <si>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</si>
  <si>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</si>
  <si>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TOTAL GERAL</t>
  </si>
  <si>
    <t>VALOR DO SERVIÇO EXECUTADO NO MÊS</t>
  </si>
  <si>
    <t>PORCENTAGEM</t>
  </si>
  <si>
    <t xml:space="preserve">VALOR ACUMULADO DOS SERVIÇOS EXECUTADOS </t>
  </si>
  <si>
    <t>PORCENTAGEM ACUMULADO</t>
  </si>
  <si>
    <t>Cronograma Físico - Financeiro</t>
  </si>
  <si>
    <t>270 dias</t>
  </si>
  <si>
    <t>300 dias</t>
  </si>
  <si>
    <t>330 dias</t>
  </si>
  <si>
    <t>365 dias</t>
  </si>
  <si>
    <r>
      <t>Padrão de entrada de energia elétrica, trifásico,</t>
    </r>
    <r>
      <rPr>
        <sz val="9"/>
        <rFont val="Calibri"/>
        <family val="2"/>
      </rPr>
      <t xml:space="preserve"> entrada aérea, a 4 fios, carga instalada de 47001 até 57000W, instalada em muro, caixa única medição direta modelo da TAF.</t>
    </r>
  </si>
  <si>
    <t>1.1</t>
  </si>
  <si>
    <t>2.2</t>
  </si>
  <si>
    <t>LOCAÇÃO</t>
  </si>
  <si>
    <t>1.1.1</t>
  </si>
  <si>
    <t>2.2.1</t>
  </si>
  <si>
    <t>2.2.2</t>
  </si>
  <si>
    <t>2.2.3</t>
  </si>
  <si>
    <t>2.2.4</t>
  </si>
  <si>
    <t>3.1</t>
  </si>
  <si>
    <t>3.1.1</t>
  </si>
  <si>
    <t>3.1.2</t>
  </si>
  <si>
    <t>3.2</t>
  </si>
  <si>
    <t>3.2.1</t>
  </si>
  <si>
    <t>3.2.2</t>
  </si>
  <si>
    <t>3.3</t>
  </si>
  <si>
    <t>3.3.1</t>
  </si>
  <si>
    <t>2.1</t>
  </si>
  <si>
    <t>2.1.1</t>
  </si>
  <si>
    <t>2.1.3</t>
  </si>
  <si>
    <t>4.1</t>
  </si>
  <si>
    <t>4.1.1</t>
  </si>
  <si>
    <t>4.1.2</t>
  </si>
  <si>
    <t>4.1.4</t>
  </si>
  <si>
    <t>4.2</t>
  </si>
  <si>
    <t>4.2.1</t>
  </si>
  <si>
    <t>4.2.2</t>
  </si>
  <si>
    <t>4.2.3</t>
  </si>
  <si>
    <t>4.2.4</t>
  </si>
  <si>
    <t>5.1</t>
  </si>
  <si>
    <t>5.2</t>
  </si>
  <si>
    <t>5.2.1</t>
  </si>
  <si>
    <t>5.3</t>
  </si>
  <si>
    <t>5.3.1</t>
  </si>
  <si>
    <t>6.1</t>
  </si>
  <si>
    <t>6.1.1</t>
  </si>
  <si>
    <t>6.1.2</t>
  </si>
  <si>
    <t>8.1</t>
  </si>
  <si>
    <t>VIDROS PARA ESQUADRIAS</t>
  </si>
  <si>
    <t>8.1.1</t>
  </si>
  <si>
    <t>8.2</t>
  </si>
  <si>
    <t>8.2.1</t>
  </si>
  <si>
    <t>9.1</t>
  </si>
  <si>
    <t>9.1.1</t>
  </si>
  <si>
    <t>11.1</t>
  </si>
  <si>
    <t>11.1.1</t>
  </si>
  <si>
    <t>12.1</t>
  </si>
  <si>
    <t>12.1.1</t>
  </si>
  <si>
    <t>12.2</t>
  </si>
  <si>
    <t>12.2.1</t>
  </si>
  <si>
    <t>12.3</t>
  </si>
  <si>
    <t>13.1</t>
  </si>
  <si>
    <t>13.1.1</t>
  </si>
  <si>
    <t>13.1.2</t>
  </si>
  <si>
    <t>13.2</t>
  </si>
  <si>
    <t>13.2.1</t>
  </si>
  <si>
    <t>13.2.2</t>
  </si>
  <si>
    <t>13.3</t>
  </si>
  <si>
    <t>13.3.1</t>
  </si>
  <si>
    <t>14.1</t>
  </si>
  <si>
    <t>14.1.1</t>
  </si>
  <si>
    <t>14.1.2</t>
  </si>
  <si>
    <t>14.2</t>
  </si>
  <si>
    <t>14.3</t>
  </si>
  <si>
    <t>14.3.1</t>
  </si>
  <si>
    <t>14.3.2</t>
  </si>
  <si>
    <t>14.4</t>
  </si>
  <si>
    <t>14.4.1</t>
  </si>
  <si>
    <t>14.4.2</t>
  </si>
  <si>
    <t>14.4.3</t>
  </si>
  <si>
    <t>15.1</t>
  </si>
  <si>
    <t>15.1.1</t>
  </si>
  <si>
    <t>15.2</t>
  </si>
  <si>
    <t>15.2.1</t>
  </si>
  <si>
    <t>15.2.2</t>
  </si>
  <si>
    <t>15.3</t>
  </si>
  <si>
    <t>15.3.1</t>
  </si>
  <si>
    <t>15.4</t>
  </si>
  <si>
    <t>15.4.1</t>
  </si>
  <si>
    <t>15.5</t>
  </si>
  <si>
    <t>15.6</t>
  </si>
  <si>
    <t>15.6.1</t>
  </si>
  <si>
    <t>15.6.2</t>
  </si>
  <si>
    <t>15.6.3</t>
  </si>
  <si>
    <t>15.6.4</t>
  </si>
  <si>
    <t>15.6.5</t>
  </si>
  <si>
    <t>15.6.6</t>
  </si>
  <si>
    <t>15.7</t>
  </si>
  <si>
    <t>15.7.1</t>
  </si>
  <si>
    <t>15.7.2</t>
  </si>
  <si>
    <t>15.7.4</t>
  </si>
  <si>
    <t>15.9</t>
  </si>
  <si>
    <t>15.9.1</t>
  </si>
  <si>
    <t>16.1</t>
  </si>
  <si>
    <t>16.1.1</t>
  </si>
  <si>
    <t>16.1.2</t>
  </si>
  <si>
    <t>16.1.3</t>
  </si>
  <si>
    <t>16.1.4</t>
  </si>
  <si>
    <t>16.3</t>
  </si>
  <si>
    <t>16.3.1</t>
  </si>
  <si>
    <t>17.1</t>
  </si>
  <si>
    <t>17.1.1</t>
  </si>
  <si>
    <t>17.1.2</t>
  </si>
  <si>
    <t>17.1.3</t>
  </si>
  <si>
    <t>19.1</t>
  </si>
  <si>
    <t>19.1.1</t>
  </si>
  <si>
    <t>14.4.4</t>
  </si>
  <si>
    <t>14.4.5</t>
  </si>
  <si>
    <t>Tubo de PVC rígido soldável marrom, diâm. 60mm (2"), inclusive conexões</t>
  </si>
  <si>
    <t>Tubo de PVC rígido soldável marrom, diâm. 50mm (11/2"), inclusive conexões</t>
  </si>
  <si>
    <t>6.1.3</t>
  </si>
  <si>
    <t>1101</t>
  </si>
  <si>
    <t>SUMIDOUROS, FOSSAS SÉPTICAS E FILTROS ANAERÓBIOS</t>
  </si>
  <si>
    <t>Filtro anaeróbio de anéis pré-moldados de concreto, diâmetro de 1.20m, altura útil de 1.80m, completo, incl.tampa c/visita de 60 cm, concreto p/fundo esp.10cm e tubulação de saída de esgoto</t>
  </si>
  <si>
    <t>Fossa séptica de anéis pré-moldados de concreto, diâmetro 1.20 m, altura útil de 1.70m, completa, incluindo tampa c/visita de 60cm, concreto p/fundo esp.10 cm, e tubo para ligação ao filtro</t>
  </si>
  <si>
    <t xml:space="preserve"> SUMIDOURO EM ALVENARIA DE TIJOLO CERAMICO MACICO DIAMETRO 1,20M E ALTURA 5,00M, COM TAMPA EM CONCRETO ARMADO DIAMETRO 1,40M E ESPESSURA 10CM
</t>
  </si>
  <si>
    <t>Ponto para ralo sifonado, inclusive ralo sifonado 100 x 40 mm c/ grelha em pvc</t>
  </si>
  <si>
    <t>Código</t>
  </si>
  <si>
    <t>IOPES</t>
  </si>
  <si>
    <t>SINAPI</t>
  </si>
  <si>
    <t>CONTRAPISO EM ARGAMASSA TRAÇO 1:4 (CIMENTO E AREIA), PREPARO MECÂNICO COM BETONEIRA 400 L, APLICADO EM ÁREAS SECAS SOBRE LAJE, ADERIDO, ESPESSURA 2CM. AF_06/2014</t>
  </si>
  <si>
    <t>Piso de cimentado camurçado executado com argamassa de cimento e areia no traço 1:3, esp. 3.0cm.</t>
  </si>
  <si>
    <t>LASTRO E CONTRAPISO</t>
  </si>
  <si>
    <t>15.3.2</t>
  </si>
  <si>
    <t>4.1.3</t>
  </si>
  <si>
    <t>VALOR CORRIGIDO</t>
  </si>
  <si>
    <t>VALOR UNIT.</t>
  </si>
  <si>
    <t>UNID.</t>
  </si>
  <si>
    <t>VALOR DO ITEM</t>
  </si>
  <si>
    <t>SINAPI - SISTEMA NACIONAL DE PESQUISA DE CUSTOS E ÍNDICES DA CONSTRUÇÃO CIVIL 1 Setembro/2018</t>
  </si>
  <si>
    <t>SINAPI - SISTEMA NACIONAL DE PESQUISA DE CUSTOS E ÍNDICES DA CONSTRUÇÃO CIVIL 1 SETEMBRO/2018</t>
  </si>
  <si>
    <t>VALOR TOTAL:</t>
  </si>
  <si>
    <t>QUANTIDADE</t>
  </si>
  <si>
    <r>
      <t>Referenciais de Preço:</t>
    </r>
    <r>
      <rPr>
        <sz val="10"/>
        <color indexed="8"/>
        <rFont val="Calibri"/>
        <family val="2"/>
      </rPr>
      <t> 801101 - TABELA CUSTOS LABOR/CT-UFES PADRÃO IOPES AGOSTO/2018 (LS=128,33%; BDI=30,90%)</t>
    </r>
  </si>
  <si>
    <t>5.1.2</t>
  </si>
  <si>
    <t>Cuba louça de embutir redonda, 30cm, L-41, completa, marcas de referência Deca, Celite ou Ideal Standard, incl. válvula e sifão, exclusive torneira</t>
  </si>
  <si>
    <t>CURVA 90 GRAUS, PVC, SOLDÁVEL, DN 40MM, INSTALADO EM PRUMADA DE ÁGUA - UN CR 12,35
FORNECIMENTO E INSTALAÇÃO. AF_12/2014</t>
  </si>
  <si>
    <t>JOELHO 45 GRAUS, PVC, SERIE NORMAL, ESGOTO PREDIAL, DN 100 MM, JUNTA E UN CR 16,87
LÁSTICA, FORNECIDO E INSTALADO EM RAMAL DE DESCARGA OU RAMAL DE ESGOTO
SANITÁRIO. AF_12/2014</t>
  </si>
  <si>
    <t>JOELHO 45 GRAUS, PVC, SERIE NORMAL, ESGOTO PREDIAL, DN 50 MM, JUNTA EL UN CR 5,05
ÁSTICA, FORNECIDO E INSTALADO EM PRUMADA DE ESGOTO SANITÁRIO OU VENTIL
AÇÃO. AF_12/2014</t>
  </si>
  <si>
    <t>JOELHO 45 GRAUS, EM FERRO GALVANIZADO, DN 40 (1 1/2"), CONEXÃO ROSQUEA UN CR 49,83
DA, INSTALADO EM REDE DE ALIMENTAÇÃO PARA HIDRANTE - FORNECIMENTO E IN
STALAÇÃO. AF_12/2015</t>
  </si>
  <si>
    <t>JOELHO 90 GRAUS, PVC, SERIE NORMAL, ESGOTO PREDIAL, DN 100 MM, JUNTA E UN CR 12,60
LÁSTICA, FORNECIDO E INSTALADO EM PRUMADA DE ESGOTO SANITÁRIO OU VENTI
LAÇÃO. AF_12/2014</t>
  </si>
  <si>
    <t>JOELHO 90 GRAUS, EM FERRO GALVANIZADO, DN 40 (1 1/2"), CONEXÃO ROSQUEA UN CR 47,83
DA, INSTALADO EM REDE DE ALIMENTAÇÃO PARA HIDRANTE - FORNECIMENTO E IN
STALAÇÃO. AF_12/2015</t>
  </si>
  <si>
    <t>ESGOTO - ACESSÓRIOS</t>
  </si>
  <si>
    <t>JUNÇÃO SIMPLES, PVC, SERIE NORMAL, ESGOTO PREDIAL, DN 50 X 50 MM, JUNT UN CR 10,69
A ELÁSTICA, FORNECIDO E INSTALADO EM PRUMADA DE ESGOTO SANITÁRIO OU VE
NTILAÇÃO. AF_12/2014</t>
  </si>
  <si>
    <t>JUNÇÃO SIMPLES, PVC, SERIE NORMAL, ESGOTO PREDIAL, DN 100 X 100 MM, JU UN CR 26,37
NTA ELÁSTICA, FORNECIDO E INSTALADO EM PRUMADA DE ESGOTO SANITÁRIO OU
VENTILAÇÃO. AF_12/2014</t>
  </si>
  <si>
    <t>TE, PVC, SERIE NORMAL, ESGOTO PREDIAL, DN 40 X 40 MM, JUNTA SOLDÁVEL, UN CR 7,94
FORNECIDO E INSTALADO EM RAMAL DE DESCARGA OU RAMAL DE ESGOTO SANITÁRI
O. AF_12/2014</t>
  </si>
  <si>
    <t>TE, PVC, SERIE NORMAL, ESGOTO PREDIAL, DN 50 X 50 MM, JUNTA ELÁSTICA, UN CR 13,42
FORNECIDO E INSTALADO EM RAMAL DE DESCARGA OU RAMAL DE ESGOTO SANITÁRI
O. AF_12/2014</t>
  </si>
  <si>
    <t>CURVA 45 GRAUS, PVC, SOLDÁVEL, DN 50MM, INSTALADO EM PRUMADA DE ÁGUA - UN CR 13,00
FORNECIMENTO E INSTALAÇÃO. AF_12/2014</t>
  </si>
  <si>
    <t>JOELHO 90 GRAUS, PVC, SERIE NORMAL, ESGOTO PREDIAL, DN 50 MM, JUNTA EL UN CR 4,51
ÁSTICA, FORNECIDO</t>
  </si>
  <si>
    <t>JOELHO 45 GRAUS, CPVC, SOLDÁVEL, DN 42MM, INSTALADO EM PRUMADA DE ÁGUA UN CR 17,14
FORNECIMENTO E INSTALAÇÃO. AF_12/2014</t>
  </si>
  <si>
    <t>Registro de pressão com canopla cromada diam. 20mm (3/4"), marcas de referência Fabrimar, Deca ou Docol</t>
  </si>
  <si>
    <t>Tubo de PVC rígido soldável marrom, diâm. 40mm (11/4"), inclusive conexões</t>
  </si>
  <si>
    <t>Tubo de PVC rígido soldável marrom, diâm. 75mm (21/2"), inclusive conexões</t>
  </si>
  <si>
    <t>Adaptador de PVC soldável com flanges livres para caixa d'água, diâmetro 75mm (2 1/2")</t>
  </si>
  <si>
    <t>ADAPTADOR CURTO COM BOLSA E ROSCA PARA REGISTRO, PVC, SOLDÁVEL, DN 25M UN CR 4,57
M X 3/4, INSTALADO EM RAMAL OU SUB-RAMAL DE ÁGUA - FORNECIMENTO E INS
TALAÇÃO. AF_12/2014</t>
  </si>
  <si>
    <t>ADAPTADOR CURTO COM BOLSA E ROSCA PARA REGISTRO, PVC, SOLDÁVEL, DN 50M UN CR 6,91
M X 1.1/2, INSTALADO EM PRUMADA DE ÁGUA - FORNECIMENTO E INSTALAÇÃO.
AF_12/2014</t>
  </si>
  <si>
    <t>REGISTRO DE ESFERA, PVC, ROSCÁVEL, 3/4", FORNECIDO E INSTALADO EM RAMA UN AS 28,12
L DE ÁGUA. AF_03/2015</t>
  </si>
  <si>
    <t>REGISTRO DE GAVETA BRUTO, LATÃO, ROSCÁVEL, 3/4", COM ACABAMENTO E CANO UN CR 65,73
PLA CROMADOS. FORNECIDO E INSTALADO EM RAMAL DE ÁGUA. AF_12/2014</t>
  </si>
  <si>
    <t>JOELHO 90 GRAUS COM BUCHA DE LATÃO, PVC, SOLDÁVEL, DN 25MM, X 3/4 INS UN CR 10,82
TALADO EM RAMAL OU SUB-RAMAL DE ÁGUA - FORNECIMENTO E INSTALAÇÃO. AF_1
2/2014</t>
  </si>
  <si>
    <t>CURVA 90 GRAUS, EM AÇO, CONEXÃO SOLDADA, DN 40 (1 1/2"), INSTALADO EM UN CR 84,80
REDE DE ALIMENTAÇÃO PARA HIDRANTE - FORNECIMENTO E INSTALAÇÃO. AF_12/2
015</t>
  </si>
  <si>
    <t>BUCHA DE REDUÇÃO LONGA, PVC, SERIE R, ÁGUA PLUVIAL, DN 50 X 40 MM, JUN UN AS 6,48
TA ELÁSTICA, FORNECIDO E INSTALADO EM RAMAL DE ENCAMINHAMENTO. AF_12/2
014</t>
  </si>
  <si>
    <t>CURVA 90 GRAUS, PVC, SOLDÁVEL, DN 50MM, INSTALADO EM PRUMADA DE ÁGUA - UN CR 14,44
FORNECIMENTO E INSTALAÇÃO. AF_12/2014</t>
  </si>
  <si>
    <t>JOELHO 90 GRAUS, PVC, SOLDÁVEL, DN 25MM, INSTALADO EM PRUMADA DE ÁGUA UN CR 3,16
- FORNECIMENTO E INSTALAÇÃO. AF_12/2014</t>
  </si>
  <si>
    <t>JOELHO 90 GRAUS, PVC, SOLDÁVEL, DN 50MM, INSTALADO EM PRUMADA DE ÁGUA UN CR 9,30
- FORNECIMENTO E INSTALAÇÃO. AF_12/2014</t>
  </si>
  <si>
    <t>JOELHO 90 GRAUS, PVC, SOLDÁVEL, DN 40MM, INSTALADO EM PRUMADA DE ÁGUA UN CR 7,66
- FORNECIMENTO E INSTALAÇÃO. AF_12/2014</t>
  </si>
  <si>
    <t>JOELHO 90 GRAUS, PVC, SOLDÁVEL, DN 60MM, INSTALADO EM PRUMADA DE ÁGUA UN CR 25,10
- FORNECIMENTO E INSTALAÇÃO. AF_12/2014</t>
  </si>
  <si>
    <t>JOELHO 90 GRAUS, PVC, SOLDÁVEL, DN 75MM, INSTALADO EM PRUMADA DE ÁGUA UN CR 68,04
- FORNECIMENTO E INSTALAÇÃO. AF_12/2014</t>
  </si>
  <si>
    <t>ENGATE FLEXÍVEL EM PLÁSTICO BRANCO, 1/2" X 30CM - FORNECIMENTO E INSTA UN CR 6,34
LAÇÃO. AF_12/2013</t>
  </si>
  <si>
    <t>LUVA COM BUCHA DE LATÃO, PVC, SOLDÁVEL, DN 25MM X 3/4, INSTALADO EM R UN CR 9,38
AMAL OU SUB-RAMAL DE ÁGUA - FORNECIMENTO E INSTALAÇÃO. AF_12/2014</t>
  </si>
  <si>
    <t>LUVA, PVC, SOLDÁVEL, DN 60MM, INSTALADO EM PRUMADA DE ÁGUA - FORNECIME UN CR 14,62
NTO E INSTALAÇÃO. AF_12/2014</t>
  </si>
  <si>
    <t>LUVA, PVC, SOLDÁVEL, DN 75MM, INSTALADO EM PRUMADA DE ÁGUA - FORNECIME UN CR 21,60
NTO E INSTALAÇÃO. AF_12/2014</t>
  </si>
  <si>
    <t>REDE DE ÁGUA FRIA - CONEXÕES PVC SOLDÁVEL</t>
  </si>
  <si>
    <t>JOELHO 90 GRAUS COM BUCHA DE LATÃO, PVC, SOLDÁVEL, DN 25MM, X 1/2 INS UN CR 9,97
TALADO EM RAMAL OU SUB-RAMAL DE ÁGUA - FORNECIMENTO E INSTALAÇÃO. AF_1
2/2014</t>
  </si>
  <si>
    <t>TÊ COM BUCHA DE LATÃO NA BOLSA CENTRAL, PVC, SOLDÁVEL, DN 25MM X 1/2, UN CR 14,85
INSTALADO EM RAMAL OU SUB-RAMAL DE ÁGUA - FORNECIMENTO E INSTALAÇÃO.
AF_12/2014</t>
  </si>
  <si>
    <t>TÊ DE REDUÇÃO, PVC, SOLDÁVEL, DN 75 MM X 50 MM, INSTALADO EM RESERVAÇÃ UN CR 49,43
O DE ÁGUA DE EDIFICAÇÃO QUE POSSUA RESERVATÓRIO DE FIBRA/FIBROCIMENTO
FORNECIMENTO E INSTALAÇÃO. AF_06/2016</t>
  </si>
  <si>
    <t>TE, PVC, SOLDÁVEL, DN 25MM, INSTALADO EM RAMAL DE DISTRIBUIÇÃO DE ÁGUA UN CR 5,89
- FORNECIMENTO E INSTALAÇÃO. AF_12/2014</t>
  </si>
  <si>
    <t>TE, PVC, SOLDÁVEL, DN 40MM, INSTALADO EM PRUMADA DE ÁGUA - FORNECIMENT UN CR 11,77
O E INSTALAÇÃO. AF_12/2014</t>
  </si>
  <si>
    <t>TE, PVC, SOLDÁVEL, DN 60MM, INSTALADO EM PRUMADA DE ÁGUA - FORNECIMENT UN CR 29,14
O E INSTALAÇÃO. AF_12/2014</t>
  </si>
  <si>
    <t>TE, PVC, SOLDÁVEL, DN 75MM, INSTALADO EM PRUMADA DE ÁGUA - FORNECIMENT UN CR 51,43
O E INSTALAÇÃO. AF_12/2014</t>
  </si>
  <si>
    <t>REDE DE VENTILAÇÃO- TUBOS E ACESSÓRIOS DE PVC</t>
  </si>
  <si>
    <t>Barracão para almoxarifado área de 10.90m2, de chapa de compensado 12mm e pontaletes 8x8cm, piso cimentado e cobertura de telha de fibrocimento de 6mm, inclusive ponto de luz, conf. projeto (2 utilizações)</t>
  </si>
  <si>
    <t>Barracão para escritório com sanitário área 14.50m2, de chapa de compens. 12mm e pontalete 8x8cm, piso cimentado e cobertura de telha de fibroc. 6mm, incl. ponto de luz e cx. de inspeção, conf. projeto (2 utilizações)</t>
  </si>
  <si>
    <t>Refeitório com paredes de chapa de compens. 12mm e pontaletes 8x8cm, piso ciment. e cobert. de telhas fibroc. 6mm, incl. ponto de luz e cx. de inspeção (cons. 1.21m2/func./turno), conf. projeto (2 utilização)</t>
  </si>
  <si>
    <t>Galpão para serraria e carpintaria área 12.00m2, em peças de madeira 8x8cm e contraventamento de 5x7cm, cobertura de telhas de fibroc. de 6mm, inclusive ponto e cabo de alimentação da máquina, conf. projeto (2 utilizações)</t>
  </si>
  <si>
    <t>Reservatório de polietileno de 5.000 L, inclusive peça de madeira 6 x 16 cm para apoio, exclusive flanges e torneira de bóia</t>
  </si>
  <si>
    <t>Espelho para banheiros espessura 4 mm, incluindo chapa compensada 10 mm, moldura de alumínio em perfil L 3/4", fixado com parafusos cromados</t>
  </si>
  <si>
    <t>Calha em chapa galvanizada com largura de 40 cm</t>
  </si>
  <si>
    <t>Rufo de chapa de alumínio esp. 0.5mm, largura de 30cm</t>
  </si>
  <si>
    <t>Cabo de cobre termoplástico, com isolamento para 750V, seção de 25.0 mm2</t>
  </si>
  <si>
    <t>Quadro distrib. energia, embutido ou semi embutido, capac. p/ 16 disj. DIN, c/barram trif. 100A barra. Neutro e terra, fab. em chapa de aço 12 USG com porta, espelho, trinco com fechad ch yale, Ref. QDTN II-16DINCEMAR ou equiv.</t>
  </si>
  <si>
    <t>Quadro distrib. energia, embutido ou semi embutido, capac. p/ 28 disj. DIN, c/barram trif. 100A barra. Neutro e terra, fab. em chapa de aço 12 USG com porta, espelho, trinco com fechad ch yale, Ref. QDTN II-28DINCEMAR ou equiv.</t>
  </si>
  <si>
    <t>CAIXA OCTOGONAL 3" X 3", PVC, INSTALADA EM LAJE - FORNECIMENTO E INSTA UN CR 8,40
LAÇÃO. AF_12/2015</t>
  </si>
  <si>
    <t>ACESSÓRIOS PARA ELETRODUTOS</t>
  </si>
  <si>
    <t>CAIXA RETANGULAR 4" X 2" MÉDIA (1,30 M DO PISO), PVC, INSTALADA EM PAR UN CR 10,83
EDE - FORNECIMENTO E INSTALAÇÃO. AF_12/2015</t>
  </si>
  <si>
    <t>Eletroduto flexível corrugado 1", marca de referência TIGRE</t>
  </si>
  <si>
    <t>Interruptor Diferencial DR 16A a 25A, 30mA, 2 módulos</t>
  </si>
  <si>
    <t>DISPOSITIVOS DE PROTEÇÃO</t>
  </si>
  <si>
    <t>DISJUNTOR MONOPOLAR TIPO DIN, CORRENTE NOMINAL DE 10A - FORNECIMENTO E UN CR 9,58
INSTALAÇÃO. AF_04/2016</t>
  </si>
  <si>
    <t>DISJUNTOR MONOPOLAR TIPO DIN, CORRENTE NOMINAL DE 16A - FORNECIMENTO E UN CR 10,04
INSTALAÇÃO. AF_04/2016</t>
  </si>
  <si>
    <t>DISJUNTOR MONOPOLAR TIPO DIN, CORRENTE NOMINAL DE 20A - FORNECIMENTO E UN CR 10,80
INSTALAÇÃO. AF_04/2016</t>
  </si>
  <si>
    <t>DISJUNTOR MONOPOLAR TIPO DIN, CORRENTE NOMINAL DE 40A - FORNECIMENTO E UN CR 17,20
INSTALAÇÃO. AF_04/2016</t>
  </si>
  <si>
    <t>DISJUNTOR MONOPOLAR TIPO DIN, CORRENTE NOMINAL DE 50A - FORNECIMENTO E UN CR 19,24
INSTALAÇÃO. AF_04/2016</t>
  </si>
  <si>
    <t>Mini-Disjuntor tripolar 90 A, curva C - 5KA 220/127VCA (NBR IEC 60947-2), Ref. Siemens, GE, Schneider ou equivalente</t>
  </si>
  <si>
    <t>6.2</t>
  </si>
  <si>
    <t>6.2.1</t>
  </si>
  <si>
    <t>6.2.2</t>
  </si>
  <si>
    <t>6.2.3</t>
  </si>
  <si>
    <t>DISPOSITIVOS ELÉTRICOS</t>
  </si>
  <si>
    <t>Tomada padrão brasileiro linha branca, NBR 14136 2 polos + terra 10A/250V, com placa 4x2"</t>
  </si>
  <si>
    <t>Tomada padrão brasileiro linha branca, NBR 14136 2 polos + terra 20A/250V, com placa 4x2"</t>
  </si>
  <si>
    <t>Interruptor de uma tecla simples 10A/250V, com placa 4x2"</t>
  </si>
  <si>
    <t>Interruptor de uma tecla paralelo 10A/250V, com placa 4x2"</t>
  </si>
  <si>
    <t>Luminária p/ duas lâmpadas fluorescentes 40W, completa, c/ reator duplo-127V partida rápida e alto fator de potência, soquete antivibratório e lâmpada fluorescente 40W-127V</t>
  </si>
  <si>
    <t>LUMINÁRIAS, LÂMPADAS E ACESSÓRIOS</t>
  </si>
  <si>
    <t>Luminária para uma lâmpada fluorescente 40W, completa, c/ reator simples-127V partida rápida alto fator de potência, soquete antivibratório e lâmpada fluorescente 40W-127V</t>
  </si>
  <si>
    <t>Fornecimento, preparo e aplicação de concreto Fck=25 MPa (brita 1 e 2) - (5% de perdas já incluído nocusto)</t>
  </si>
  <si>
    <t>SUPER-ESTRUTURA - PILARES, VIGAS E LAJES</t>
  </si>
  <si>
    <t>PLANILHA ORÇAMENTÁRIA                                                                    OBRA: Construção de Creche no distrito de Imburana</t>
  </si>
  <si>
    <t>Lastro de concreto não estrutural, espessura de 6 cm</t>
  </si>
  <si>
    <t>2 x 4 = 8  m2</t>
  </si>
  <si>
    <r>
      <rPr>
        <b/>
        <sz val="11"/>
        <color indexed="8"/>
        <rFont val="Calibri"/>
        <family val="2"/>
      </rPr>
      <t xml:space="preserve">Banheiros: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2 x 1,15x2,6 = 5,98 m²                                                                                                                   4 x 0,80x2,60 = 8,32 m²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</si>
  <si>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>Escavação - Reaterro:</t>
    </r>
    <r>
      <rPr>
        <sz val="11"/>
        <color indexed="8"/>
        <rFont val="Calibri"/>
        <family val="2"/>
      </rPr>
      <t xml:space="preserve">  67,34 - 49,85 = 17,49 m3</t>
    </r>
  </si>
  <si>
    <r>
      <rPr>
        <b/>
        <sz val="11"/>
        <color indexed="8"/>
        <rFont val="Calibri"/>
        <family val="2"/>
      </rPr>
      <t xml:space="preserve">Comprimento x largura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3,46 x 3,47 = 12 m²</t>
    </r>
  </si>
  <si>
    <r>
      <rPr>
        <b/>
        <sz val="11"/>
        <color indexed="8"/>
        <rFont val="Calibri"/>
        <family val="2"/>
      </rPr>
      <t xml:space="preserve">Comprimento x largura      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4,25 x 4,25 = 18,06 m²</t>
    </r>
  </si>
  <si>
    <r>
      <rPr>
        <b/>
        <sz val="11"/>
        <color indexed="8"/>
        <rFont val="Calibri"/>
        <family val="2"/>
      </rPr>
      <t xml:space="preserve">Comprimento x largura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3,8 x 3,8 = 14,50 m²</t>
    </r>
  </si>
  <si>
    <r>
      <rPr>
        <b/>
        <sz val="11"/>
        <color indexed="8"/>
        <rFont val="Calibri"/>
        <family val="2"/>
      </rPr>
      <t xml:space="preserve">Comprimento x largura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3,3 x 3,3 = 10,90 m²</t>
    </r>
  </si>
  <si>
    <r>
      <rPr>
        <b/>
        <sz val="11"/>
        <color indexed="8"/>
        <rFont val="Calibri"/>
        <family val="2"/>
      </rPr>
      <t>Área:</t>
    </r>
    <r>
      <rPr>
        <sz val="11"/>
        <color indexed="8"/>
        <rFont val="Calibri"/>
        <family val="2"/>
      </rPr>
      <t xml:space="preserve"> 289,86 m²</t>
    </r>
  </si>
  <si>
    <r>
      <rPr>
        <b/>
        <sz val="11"/>
        <color indexed="8"/>
        <rFont val="Calibri"/>
        <family val="2"/>
      </rPr>
      <t>Frente =</t>
    </r>
    <r>
      <rPr>
        <sz val="11"/>
        <color indexed="8"/>
        <rFont val="Calibri"/>
        <family val="2"/>
      </rPr>
      <t xml:space="preserve"> 26,44 m</t>
    </r>
  </si>
  <si>
    <r>
      <rPr>
        <b/>
        <sz val="11"/>
        <color indexed="8"/>
        <rFont val="Calibri"/>
        <family val="2"/>
      </rPr>
      <t xml:space="preserve">Sapatas: </t>
    </r>
    <r>
      <rPr>
        <sz val="11"/>
        <color indexed="8"/>
        <rFont val="Calibri"/>
        <family val="2"/>
      </rPr>
      <t xml:space="preserve">51,17 m³,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Baldrames:</t>
    </r>
    <r>
      <rPr>
        <sz val="11"/>
        <color indexed="8"/>
        <rFont val="Calibri"/>
        <family val="2"/>
      </rPr>
      <t xml:space="preserve"> 9,46 m³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Cx Dágua - Sapatas:</t>
    </r>
    <r>
      <rPr>
        <sz val="11"/>
        <color indexed="8"/>
        <rFont val="Calibri"/>
        <family val="2"/>
      </rPr>
      <t xml:space="preserve"> 6 m³,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Baldrames:</t>
    </r>
    <r>
      <rPr>
        <sz val="11"/>
        <color indexed="8"/>
        <rFont val="Calibri"/>
        <family val="2"/>
      </rPr>
      <t xml:space="preserve"> 0,71 m³</t>
    </r>
  </si>
  <si>
    <r>
      <rPr>
        <b/>
        <sz val="11"/>
        <color indexed="8"/>
        <rFont val="Calibri"/>
        <family val="2"/>
      </rPr>
      <t xml:space="preserve">Sapatas: </t>
    </r>
    <r>
      <rPr>
        <sz val="11"/>
        <color indexed="8"/>
        <rFont val="Calibri"/>
        <family val="2"/>
      </rPr>
      <t xml:space="preserve">26,06 m²,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Baldrames:</t>
    </r>
    <r>
      <rPr>
        <sz val="11"/>
        <color indexed="8"/>
        <rFont val="Calibri"/>
        <family val="2"/>
      </rPr>
      <t xml:space="preserve"> 25,34 m²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Cx Dágua - Sapatas</t>
    </r>
    <r>
      <rPr>
        <sz val="11"/>
        <color indexed="8"/>
        <rFont val="Calibri"/>
        <family val="2"/>
      </rPr>
      <t xml:space="preserve">: 3,24 m²,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Baldrames: </t>
    </r>
    <r>
      <rPr>
        <sz val="11"/>
        <color indexed="8"/>
        <rFont val="Calibri"/>
        <family val="2"/>
      </rPr>
      <t>1,92 m²</t>
    </r>
  </si>
  <si>
    <r>
      <rPr>
        <b/>
        <sz val="11"/>
        <color indexed="8"/>
        <rFont val="Calibri"/>
        <family val="2"/>
      </rPr>
      <t xml:space="preserve">Sapatas: </t>
    </r>
    <r>
      <rPr>
        <sz val="11"/>
        <color indexed="8"/>
        <rFont val="Calibri"/>
        <family val="2"/>
      </rPr>
      <t xml:space="preserve">26,06 m²,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Baldrames:</t>
    </r>
    <r>
      <rPr>
        <sz val="11"/>
        <color indexed="8"/>
        <rFont val="Calibri"/>
        <family val="2"/>
      </rPr>
      <t xml:space="preserve"> 25,34 m²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Cx Dágua - Sapatas: </t>
    </r>
    <r>
      <rPr>
        <sz val="11"/>
        <color indexed="8"/>
        <rFont val="Calibri"/>
        <family val="2"/>
      </rPr>
      <t>3,24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Baldrames:</t>
    </r>
    <r>
      <rPr>
        <sz val="11"/>
        <color indexed="8"/>
        <rFont val="Calibri"/>
        <family val="2"/>
      </rPr>
      <t xml:space="preserve"> 1,92 m²</t>
    </r>
  </si>
  <si>
    <r>
      <rPr>
        <b/>
        <sz val="11"/>
        <color indexed="8"/>
        <rFont val="Calibri"/>
        <family val="2"/>
      </rPr>
      <t xml:space="preserve">Sapatas: </t>
    </r>
    <r>
      <rPr>
        <sz val="11"/>
        <color indexed="8"/>
        <rFont val="Calibri"/>
        <family val="2"/>
      </rPr>
      <t xml:space="preserve">6,51 m³,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Pilaretes:</t>
    </r>
    <r>
      <rPr>
        <sz val="11"/>
        <color indexed="8"/>
        <rFont val="Calibri"/>
        <family val="2"/>
      </rPr>
      <t xml:space="preserve"> 4,37m³,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Baldrames:</t>
    </r>
    <r>
      <rPr>
        <sz val="11"/>
        <color indexed="8"/>
        <rFont val="Calibri"/>
        <family val="2"/>
      </rPr>
      <t xml:space="preserve"> 7,60 m³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Estrutura da Cx. Dágua - Sapatas:</t>
    </r>
    <r>
      <rPr>
        <sz val="11"/>
        <color indexed="8"/>
        <rFont val="Calibri"/>
        <family val="2"/>
      </rPr>
      <t xml:space="preserve"> 0,81 m²,                                                        </t>
    </r>
    <r>
      <rPr>
        <b/>
        <sz val="11"/>
        <color indexed="8"/>
        <rFont val="Calibri"/>
        <family val="2"/>
      </rPr>
      <t>Baldrames:</t>
    </r>
    <r>
      <rPr>
        <sz val="11"/>
        <color indexed="8"/>
        <rFont val="Calibri"/>
        <family val="2"/>
      </rPr>
      <t xml:space="preserve"> 0,54 m²,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Pilaretes:</t>
    </r>
    <r>
      <rPr>
        <sz val="11"/>
        <color indexed="8"/>
        <rFont val="Calibri"/>
        <family val="2"/>
      </rPr>
      <t xml:space="preserve"> 0,58 m² </t>
    </r>
  </si>
  <si>
    <r>
      <rPr>
        <b/>
        <sz val="11"/>
        <color indexed="8"/>
        <rFont val="Calibri"/>
        <family val="2"/>
      </rPr>
      <t>Sapatas:</t>
    </r>
    <r>
      <rPr>
        <sz val="11"/>
        <color indexed="8"/>
        <rFont val="Calibri"/>
        <family val="2"/>
      </rPr>
      <t xml:space="preserve"> 209,45 kg,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Pilaretes</t>
    </r>
    <r>
      <rPr>
        <sz val="11"/>
        <color indexed="8"/>
        <rFont val="Calibri"/>
        <family val="2"/>
      </rPr>
      <t xml:space="preserve">: 325,41kg,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Baldrames: </t>
    </r>
    <r>
      <rPr>
        <sz val="11"/>
        <color indexed="8"/>
        <rFont val="Calibri"/>
        <family val="2"/>
      </rPr>
      <t xml:space="preserve">529,47 kg,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Estrutura da Cx. Dágua - Sapatas:</t>
    </r>
    <r>
      <rPr>
        <sz val="11"/>
        <color indexed="8"/>
        <rFont val="Calibri"/>
        <family val="2"/>
      </rPr>
      <t xml:space="preserve"> 25,66 kg,                                                                </t>
    </r>
    <r>
      <rPr>
        <b/>
        <sz val="11"/>
        <color indexed="8"/>
        <rFont val="Calibri"/>
        <family val="2"/>
      </rPr>
      <t xml:space="preserve">Baldrames: </t>
    </r>
    <r>
      <rPr>
        <sz val="11"/>
        <color indexed="8"/>
        <rFont val="Calibri"/>
        <family val="2"/>
      </rPr>
      <t xml:space="preserve">31,93 kg,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Pilaretes: </t>
    </r>
    <r>
      <rPr>
        <sz val="11"/>
        <color indexed="8"/>
        <rFont val="Calibri"/>
        <family val="2"/>
      </rPr>
      <t xml:space="preserve">36,78 kg </t>
    </r>
  </si>
  <si>
    <r>
      <rPr>
        <b/>
        <sz val="11"/>
        <color indexed="8"/>
        <rFont val="Calibri"/>
        <family val="2"/>
      </rPr>
      <t>Pilaretes:</t>
    </r>
    <r>
      <rPr>
        <sz val="11"/>
        <color indexed="8"/>
        <rFont val="Calibri"/>
        <family val="2"/>
      </rPr>
      <t xml:space="preserve"> 190,01 kg,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Baldrames: </t>
    </r>
    <r>
      <rPr>
        <sz val="11"/>
        <color indexed="8"/>
        <rFont val="Calibri"/>
        <family val="2"/>
      </rPr>
      <t xml:space="preserve">154,77 kg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Estrutura da Cx. Dágua -  Baldrames: </t>
    </r>
    <r>
      <rPr>
        <sz val="11"/>
        <color indexed="8"/>
        <rFont val="Calibri"/>
        <family val="2"/>
      </rPr>
      <t xml:space="preserve">10,14 kg,                                                         </t>
    </r>
    <r>
      <rPr>
        <b/>
        <sz val="11"/>
        <color indexed="8"/>
        <rFont val="Calibri"/>
        <family val="2"/>
      </rPr>
      <t>Pilaretes:</t>
    </r>
    <r>
      <rPr>
        <sz val="11"/>
        <color indexed="8"/>
        <rFont val="Calibri"/>
        <family val="2"/>
      </rPr>
      <t xml:space="preserve"> 13,90 kg </t>
    </r>
  </si>
  <si>
    <t>MEMÓRIA DE CÁLCULO</t>
  </si>
  <si>
    <t>Ref.</t>
  </si>
  <si>
    <r>
      <rPr>
        <b/>
        <sz val="11"/>
        <color indexed="8"/>
        <rFont val="Calibri"/>
        <family val="2"/>
      </rPr>
      <t>Vigas:</t>
    </r>
    <r>
      <rPr>
        <sz val="11"/>
        <color indexed="8"/>
        <rFont val="Calibri"/>
        <family val="2"/>
      </rPr>
      <t xml:space="preserve"> 9,83 m³,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Pilares:</t>
    </r>
    <r>
      <rPr>
        <sz val="11"/>
        <color indexed="8"/>
        <rFont val="Calibri"/>
        <family val="2"/>
      </rPr>
      <t xml:space="preserve"> 8,73 m³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Lajes: </t>
    </r>
    <r>
      <rPr>
        <sz val="11"/>
        <color indexed="8"/>
        <rFont val="Calibri"/>
        <family val="2"/>
      </rPr>
      <t xml:space="preserve">30,47 m³,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Estrutura da Cx. Dágua - Vigas:</t>
    </r>
    <r>
      <rPr>
        <sz val="11"/>
        <color indexed="8"/>
        <rFont val="Calibri"/>
        <family val="2"/>
      </rPr>
      <t xml:space="preserve"> 0,58 m³,                                                                   </t>
    </r>
    <r>
      <rPr>
        <b/>
        <sz val="11"/>
        <color indexed="8"/>
        <rFont val="Calibri"/>
        <family val="2"/>
      </rPr>
      <t>Pilares:</t>
    </r>
    <r>
      <rPr>
        <sz val="11"/>
        <color indexed="8"/>
        <rFont val="Calibri"/>
        <family val="2"/>
      </rPr>
      <t xml:space="preserve"> 1,80 m³,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Laje: </t>
    </r>
    <r>
      <rPr>
        <sz val="11"/>
        <color indexed="8"/>
        <rFont val="Calibri"/>
        <family val="2"/>
      </rPr>
      <t>0,81 m³</t>
    </r>
  </si>
  <si>
    <r>
      <rPr>
        <b/>
        <sz val="11"/>
        <color indexed="8"/>
        <rFont val="Calibri"/>
        <family val="2"/>
      </rPr>
      <t>Vigas:</t>
    </r>
    <r>
      <rPr>
        <sz val="11"/>
        <color indexed="8"/>
        <rFont val="Calibri"/>
        <family val="2"/>
      </rPr>
      <t xml:space="preserve"> 686,95 kg,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Pilares</t>
    </r>
    <r>
      <rPr>
        <sz val="11"/>
        <color indexed="8"/>
        <rFont val="Calibri"/>
        <family val="2"/>
      </rPr>
      <t xml:space="preserve">: 464,11 kg,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Lajes: </t>
    </r>
    <r>
      <rPr>
        <sz val="11"/>
        <color indexed="8"/>
        <rFont val="Calibri"/>
        <family val="2"/>
      </rPr>
      <t xml:space="preserve">1.404,36 kg,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Estrutura da Cx. Dágua - Vigas: </t>
    </r>
    <r>
      <rPr>
        <sz val="11"/>
        <color indexed="8"/>
        <rFont val="Calibri"/>
        <family val="2"/>
      </rPr>
      <t>35,78 kg,</t>
    </r>
    <r>
      <rPr>
        <b/>
        <sz val="11"/>
        <color indexed="8"/>
        <rFont val="Calibri"/>
        <family val="2"/>
      </rPr>
      <t xml:space="preserve">                                                                    Pilares:</t>
    </r>
    <r>
      <rPr>
        <sz val="11"/>
        <color indexed="8"/>
        <rFont val="Calibri"/>
        <family val="2"/>
      </rPr>
      <t xml:space="preserve"> 84,24 kg,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Laje:</t>
    </r>
    <r>
      <rPr>
        <sz val="11"/>
        <color indexed="8"/>
        <rFont val="Calibri"/>
        <family val="2"/>
      </rPr>
      <t xml:space="preserve"> 43,44 kg</t>
    </r>
  </si>
  <si>
    <r>
      <rPr>
        <b/>
        <sz val="11"/>
        <color indexed="8"/>
        <rFont val="Calibri"/>
        <family val="2"/>
      </rPr>
      <t>Vigas:</t>
    </r>
    <r>
      <rPr>
        <sz val="11"/>
        <color indexed="8"/>
        <rFont val="Calibri"/>
        <family val="2"/>
      </rPr>
      <t xml:space="preserve"> 197,67 kg,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Pilares:</t>
    </r>
    <r>
      <rPr>
        <sz val="11"/>
        <color indexed="8"/>
        <rFont val="Calibri"/>
        <family val="2"/>
      </rPr>
      <t xml:space="preserve"> 198,88 kg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Lajes: </t>
    </r>
    <r>
      <rPr>
        <sz val="11"/>
        <color indexed="8"/>
        <rFont val="Calibri"/>
        <family val="2"/>
      </rPr>
      <t xml:space="preserve">273,44 kg,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Estrutura da Cx. Dágua - Vigas: </t>
    </r>
    <r>
      <rPr>
        <sz val="11"/>
        <color indexed="8"/>
        <rFont val="Calibri"/>
        <family val="2"/>
      </rPr>
      <t xml:space="preserve">9,54 kg,                                                                        </t>
    </r>
    <r>
      <rPr>
        <b/>
        <sz val="11"/>
        <color indexed="8"/>
        <rFont val="Calibri"/>
        <family val="2"/>
      </rPr>
      <t xml:space="preserve">Pilares: </t>
    </r>
    <r>
      <rPr>
        <sz val="11"/>
        <color indexed="8"/>
        <rFont val="Calibri"/>
        <family val="2"/>
      </rPr>
      <t>32,93 kg</t>
    </r>
  </si>
  <si>
    <t>Portão de ferro de abrir em barra chata, inclusive chumbamento</t>
  </si>
  <si>
    <r>
      <rPr>
        <b/>
        <sz val="11"/>
        <color indexed="8"/>
        <rFont val="Calibri"/>
        <family val="2"/>
      </rPr>
      <t xml:space="preserve">Básculas:     </t>
    </r>
    <r>
      <rPr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      8 X B1: 1,60 x 0,50 = 0,80 m² = 6,40 m²                                                                                                              1 x B2: 1,30 X 0,50 = 0,65 m²,                                                                                                               1 x B3: 0,50 x 0,50 = 0,25 m²</t>
    </r>
  </si>
  <si>
    <r>
      <rPr>
        <b/>
        <sz val="11"/>
        <color indexed="8"/>
        <rFont val="Calibri"/>
        <family val="2"/>
      </rPr>
      <t xml:space="preserve">Janelas de Correr: </t>
    </r>
    <r>
      <rPr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8 X J1: 1,50 x 1,00 = 1,50 m² = 12 m²                                                                                                                                                                                                                                        </t>
    </r>
  </si>
  <si>
    <t>1 x P2: 1,00 X 2,50 = 2,50 m²,                                                                                                                        15 x P4: 0,80 X 2,10 = 25,2 m²                                                                                                                           6 x P5: 0,60 X 1,60 = 0,96 m²</t>
  </si>
  <si>
    <r>
      <rPr>
        <b/>
        <sz val="11"/>
        <color indexed="8"/>
        <rFont val="Calibri"/>
        <family val="2"/>
      </rPr>
      <t>Sapatas:</t>
    </r>
    <r>
      <rPr>
        <sz val="11"/>
        <color indexed="8"/>
        <rFont val="Calibri"/>
        <family val="2"/>
      </rPr>
      <t xml:space="preserve"> 44,66 m³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Sapatas Cx Dágua: </t>
    </r>
    <r>
      <rPr>
        <sz val="11"/>
        <color indexed="8"/>
        <rFont val="Calibri"/>
        <family val="2"/>
      </rPr>
      <t xml:space="preserve">5,19 m³ </t>
    </r>
  </si>
  <si>
    <r>
      <rPr>
        <b/>
        <sz val="11"/>
        <color indexed="8"/>
        <rFont val="Calibri"/>
        <family val="2"/>
      </rPr>
      <t>Verga das Janelas:</t>
    </r>
    <r>
      <rPr>
        <sz val="11"/>
        <color rgb="FF000000"/>
        <rFont val="Calibri"/>
        <family val="2"/>
      </rPr>
      <t xml:space="preserve"> 8 x 2,10 = 16,8 m                                                                                       </t>
    </r>
    <r>
      <rPr>
        <b/>
        <sz val="11"/>
        <color indexed="8"/>
        <rFont val="Calibri"/>
        <family val="2"/>
      </rPr>
      <t>Contraverga das Janelas</t>
    </r>
    <r>
      <rPr>
        <sz val="11"/>
        <color rgb="FF000000"/>
        <rFont val="Calibri"/>
        <family val="2"/>
      </rPr>
      <t xml:space="preserve">: 8 x 2,10 = 16,80 m                                                                         </t>
    </r>
    <r>
      <rPr>
        <b/>
        <sz val="11"/>
        <color indexed="8"/>
        <rFont val="Calibri"/>
        <family val="2"/>
      </rPr>
      <t>Verga das portas:</t>
    </r>
    <r>
      <rPr>
        <sz val="11"/>
        <color rgb="FF000000"/>
        <rFont val="Calibri"/>
        <family val="2"/>
      </rPr>
      <t xml:space="preserve"> 15x 1,40 = 21 m</t>
    </r>
  </si>
  <si>
    <r>
      <rPr>
        <b/>
        <sz val="11"/>
        <color indexed="8"/>
        <rFont val="Calibri"/>
        <family val="2"/>
      </rPr>
      <t xml:space="preserve">Cozinha: </t>
    </r>
    <r>
      <rPr>
        <sz val="11"/>
        <color indexed="8"/>
        <rFont val="Calibri"/>
        <family val="2"/>
      </rPr>
      <t xml:space="preserve">18,46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Depósito: </t>
    </r>
    <r>
      <rPr>
        <sz val="11"/>
        <color indexed="8"/>
        <rFont val="Calibri"/>
        <family val="2"/>
      </rPr>
      <t xml:space="preserve">3,68 m²,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Refeitório: </t>
    </r>
    <r>
      <rPr>
        <sz val="11"/>
        <color indexed="8"/>
        <rFont val="Calibri"/>
        <family val="2"/>
      </rPr>
      <t>32,88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Sala Prof.: </t>
    </r>
    <r>
      <rPr>
        <sz val="11"/>
        <color indexed="8"/>
        <rFont val="Calibri"/>
        <family val="2"/>
      </rPr>
      <t>17,67</t>
    </r>
    <r>
      <rPr>
        <sz val="11"/>
        <color indexed="8"/>
        <rFont val="Calibri"/>
        <family val="2"/>
      </rPr>
      <t xml:space="preserve"> m²,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Sanitário M/F:</t>
    </r>
    <r>
      <rPr>
        <sz val="11"/>
        <color indexed="8"/>
        <rFont val="Calibri"/>
        <family val="2"/>
      </rPr>
      <t xml:space="preserve"> 3,24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Pátio: </t>
    </r>
    <r>
      <rPr>
        <sz val="11"/>
        <color indexed="8"/>
        <rFont val="Calibri"/>
        <family val="2"/>
      </rPr>
      <t>36,51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Secretaria: </t>
    </r>
    <r>
      <rPr>
        <sz val="11"/>
        <color indexed="8"/>
        <rFont val="Calibri"/>
        <family val="2"/>
      </rPr>
      <t xml:space="preserve">14,00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Pré-Escola:</t>
    </r>
    <r>
      <rPr>
        <sz val="11"/>
        <color indexed="8"/>
        <rFont val="Calibri"/>
        <family val="2"/>
      </rPr>
      <t xml:space="preserve"> 20 m²,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Pré-Escola I: </t>
    </r>
    <r>
      <rPr>
        <sz val="11"/>
        <color indexed="8"/>
        <rFont val="Calibri"/>
        <family val="2"/>
      </rPr>
      <t xml:space="preserve">21,18 m²,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Sala de Leitura:</t>
    </r>
    <r>
      <rPr>
        <sz val="11"/>
        <color indexed="8"/>
        <rFont val="Calibri"/>
        <family val="2"/>
      </rPr>
      <t xml:space="preserve"> 15,47 m²,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Lactário:</t>
    </r>
    <r>
      <rPr>
        <sz val="11"/>
        <color indexed="8"/>
        <rFont val="Calibri"/>
        <family val="2"/>
      </rPr>
      <t xml:space="preserve"> 7,20 m²,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Banho:</t>
    </r>
    <r>
      <rPr>
        <sz val="11"/>
        <color indexed="8"/>
        <rFont val="Calibri"/>
        <family val="2"/>
      </rPr>
      <t xml:space="preserve"> 8,00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Creche:</t>
    </r>
    <r>
      <rPr>
        <sz val="11"/>
        <color indexed="8"/>
        <rFont val="Calibri"/>
        <family val="2"/>
      </rPr>
      <t xml:space="preserve"> 22,60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Sanit. Masc.: </t>
    </r>
    <r>
      <rPr>
        <sz val="11"/>
        <color indexed="8"/>
        <rFont val="Calibri"/>
        <family val="2"/>
      </rPr>
      <t xml:space="preserve">7,29 m²,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Sanit. Fem.</t>
    </r>
    <r>
      <rPr>
        <sz val="11"/>
        <color indexed="8"/>
        <rFont val="Calibri"/>
        <family val="2"/>
      </rPr>
      <t>: 7,29 m².</t>
    </r>
  </si>
  <si>
    <r>
      <rPr>
        <b/>
        <sz val="11"/>
        <color indexed="8"/>
        <rFont val="Calibri"/>
        <family val="2"/>
      </rPr>
      <t xml:space="preserve">Lavanderia: </t>
    </r>
    <r>
      <rPr>
        <sz val="11"/>
        <color indexed="8"/>
        <rFont val="Calibri"/>
        <family val="2"/>
      </rPr>
      <t xml:space="preserve">12,42 m²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Cozinha: </t>
    </r>
    <r>
      <rPr>
        <sz val="11"/>
        <color indexed="8"/>
        <rFont val="Calibri"/>
        <family val="2"/>
      </rPr>
      <t xml:space="preserve">18,46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Depósito: </t>
    </r>
    <r>
      <rPr>
        <sz val="11"/>
        <color indexed="8"/>
        <rFont val="Calibri"/>
        <family val="2"/>
      </rPr>
      <t xml:space="preserve">3,68 m²,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Refeitório: </t>
    </r>
    <r>
      <rPr>
        <sz val="11"/>
        <color indexed="8"/>
        <rFont val="Calibri"/>
        <family val="2"/>
      </rPr>
      <t>32,88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Sala Prof.: </t>
    </r>
    <r>
      <rPr>
        <sz val="11"/>
        <color indexed="8"/>
        <rFont val="Calibri"/>
        <family val="2"/>
      </rPr>
      <t>17,67</t>
    </r>
    <r>
      <rPr>
        <sz val="11"/>
        <color indexed="8"/>
        <rFont val="Calibri"/>
        <family val="2"/>
      </rPr>
      <t xml:space="preserve"> m²,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Sanitário M/F:</t>
    </r>
    <r>
      <rPr>
        <sz val="11"/>
        <color indexed="8"/>
        <rFont val="Calibri"/>
        <family val="2"/>
      </rPr>
      <t xml:space="preserve"> 3,24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Pátio: </t>
    </r>
    <r>
      <rPr>
        <sz val="11"/>
        <color indexed="8"/>
        <rFont val="Calibri"/>
        <family val="2"/>
      </rPr>
      <t>36,51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Secretaria: </t>
    </r>
    <r>
      <rPr>
        <sz val="11"/>
        <color indexed="8"/>
        <rFont val="Calibri"/>
        <family val="2"/>
      </rPr>
      <t xml:space="preserve">14,00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Pré-Escola:</t>
    </r>
    <r>
      <rPr>
        <sz val="11"/>
        <color indexed="8"/>
        <rFont val="Calibri"/>
        <family val="2"/>
      </rPr>
      <t xml:space="preserve"> 20 m²,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Pré-Escola I: </t>
    </r>
    <r>
      <rPr>
        <sz val="11"/>
        <color indexed="8"/>
        <rFont val="Calibri"/>
        <family val="2"/>
      </rPr>
      <t xml:space="preserve">21,18 m²,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Sala de Leitura:</t>
    </r>
    <r>
      <rPr>
        <sz val="11"/>
        <color indexed="8"/>
        <rFont val="Calibri"/>
        <family val="2"/>
      </rPr>
      <t xml:space="preserve"> 15,47 m²,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Lactário:</t>
    </r>
    <r>
      <rPr>
        <sz val="11"/>
        <color indexed="8"/>
        <rFont val="Calibri"/>
        <family val="2"/>
      </rPr>
      <t xml:space="preserve"> 7,20 m²,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Banho:</t>
    </r>
    <r>
      <rPr>
        <sz val="11"/>
        <color indexed="8"/>
        <rFont val="Calibri"/>
        <family val="2"/>
      </rPr>
      <t xml:space="preserve"> 8,00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Creche:</t>
    </r>
    <r>
      <rPr>
        <sz val="11"/>
        <color indexed="8"/>
        <rFont val="Calibri"/>
        <family val="2"/>
      </rPr>
      <t xml:space="preserve"> 22,60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Sanit. Masc.: </t>
    </r>
    <r>
      <rPr>
        <sz val="11"/>
        <color indexed="8"/>
        <rFont val="Calibri"/>
        <family val="2"/>
      </rPr>
      <t xml:space="preserve">7,29 m²,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Sanit. Fem.</t>
    </r>
    <r>
      <rPr>
        <sz val="11"/>
        <color indexed="8"/>
        <rFont val="Calibri"/>
        <family val="2"/>
      </rPr>
      <t>: 7,29 m².</t>
    </r>
  </si>
  <si>
    <t>1 x P1: 2,96 X 2,80 = 8,29 m²</t>
  </si>
  <si>
    <t>6.1.4</t>
  </si>
  <si>
    <r>
      <rPr>
        <b/>
        <sz val="11"/>
        <color indexed="8"/>
        <rFont val="Calibri"/>
        <family val="2"/>
      </rPr>
      <t>Portões Externos:</t>
    </r>
    <r>
      <rPr>
        <sz val="11"/>
        <color rgb="FF000000"/>
        <rFont val="Calibri"/>
        <family val="2"/>
      </rPr>
      <t xml:space="preserve"> 2 x (3,00x2,50)= 15 m2</t>
    </r>
  </si>
  <si>
    <r>
      <rPr>
        <b/>
        <sz val="11"/>
        <rFont val="Calibri"/>
        <family val="2"/>
      </rPr>
      <t>Gradil fachada:</t>
    </r>
    <r>
      <rPr>
        <sz val="11"/>
        <rFont val="Calibri"/>
        <family val="2"/>
      </rPr>
      <t xml:space="preserve"> (3,51+2,41+2,96)x2,80 = 24,86 m²</t>
    </r>
  </si>
  <si>
    <r>
      <rPr>
        <b/>
        <sz val="11"/>
        <color indexed="8"/>
        <rFont val="Calibri"/>
        <family val="2"/>
      </rPr>
      <t>Área de janelas =</t>
    </r>
    <r>
      <rPr>
        <sz val="11"/>
        <color indexed="8"/>
        <rFont val="Calibri"/>
        <family val="2"/>
      </rPr>
      <t xml:space="preserve"> 12 m²</t>
    </r>
  </si>
  <si>
    <r>
      <rPr>
        <b/>
        <sz val="11"/>
        <color indexed="8"/>
        <rFont val="Calibri"/>
        <family val="2"/>
      </rPr>
      <t xml:space="preserve">Lavanderia: </t>
    </r>
    <r>
      <rPr>
        <sz val="11"/>
        <color indexed="8"/>
        <rFont val="Calibri"/>
        <family val="2"/>
      </rPr>
      <t xml:space="preserve">19,37 m²,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Cozinha: </t>
    </r>
    <r>
      <rPr>
        <sz val="11"/>
        <color indexed="8"/>
        <rFont val="Calibri"/>
        <family val="2"/>
      </rPr>
      <t xml:space="preserve">54,68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Depósito:</t>
    </r>
    <r>
      <rPr>
        <sz val="11"/>
        <color indexed="8"/>
        <rFont val="Calibri"/>
        <family val="2"/>
      </rPr>
      <t xml:space="preserve"> 11,82 m²,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Refeitório: </t>
    </r>
    <r>
      <rPr>
        <sz val="11"/>
        <color indexed="8"/>
        <rFont val="Calibri"/>
        <family val="2"/>
      </rPr>
      <t>13,05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Sala Prof.: </t>
    </r>
    <r>
      <rPr>
        <sz val="11"/>
        <color indexed="8"/>
        <rFont val="Calibri"/>
        <family val="2"/>
      </rPr>
      <t xml:space="preserve">52,92 m²,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Sanitário M/F:</t>
    </r>
    <r>
      <rPr>
        <sz val="11"/>
        <color indexed="8"/>
        <rFont val="Calibri"/>
        <family val="2"/>
      </rPr>
      <t xml:space="preserve"> 14,87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Secretaria: </t>
    </r>
    <r>
      <rPr>
        <sz val="11"/>
        <color indexed="8"/>
        <rFont val="Calibri"/>
        <family val="2"/>
      </rPr>
      <t xml:space="preserve">37,02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Pré-Escola:</t>
    </r>
    <r>
      <rPr>
        <sz val="11"/>
        <color indexed="8"/>
        <rFont val="Calibri"/>
        <family val="2"/>
      </rPr>
      <t xml:space="preserve"> 38,22 m²,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Lactário:</t>
    </r>
    <r>
      <rPr>
        <sz val="11"/>
        <color indexed="8"/>
        <rFont val="Calibri"/>
        <family val="2"/>
      </rPr>
      <t xml:space="preserve"> 24,94 m²,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Banho:</t>
    </r>
    <r>
      <rPr>
        <sz val="11"/>
        <color indexed="8"/>
        <rFont val="Calibri"/>
        <family val="2"/>
      </rPr>
      <t xml:space="preserve"> 22,42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Creche:</t>
    </r>
    <r>
      <rPr>
        <sz val="11"/>
        <color indexed="8"/>
        <rFont val="Calibri"/>
        <family val="2"/>
      </rPr>
      <t xml:space="preserve"> 44,10 m²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Pré-escola: </t>
    </r>
    <r>
      <rPr>
        <sz val="11"/>
        <color indexed="8"/>
        <rFont val="Calibri"/>
        <family val="2"/>
      </rPr>
      <t xml:space="preserve">42,6 m²,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Sanit. Masc.: </t>
    </r>
    <r>
      <rPr>
        <sz val="11"/>
        <color indexed="8"/>
        <rFont val="Calibri"/>
        <family val="2"/>
      </rPr>
      <t xml:space="preserve">20,47 m²,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Sanit. Fem.:</t>
    </r>
    <r>
      <rPr>
        <sz val="11"/>
        <color indexed="8"/>
        <rFont val="Calibri"/>
        <family val="2"/>
      </rPr>
      <t xml:space="preserve"> 20,47 m²,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Sala Leitura: </t>
    </r>
    <r>
      <rPr>
        <sz val="11"/>
        <color indexed="8"/>
        <rFont val="Calibri"/>
        <family val="2"/>
      </rPr>
      <t xml:space="preserve">45,74 m²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Platibanda:</t>
    </r>
    <r>
      <rPr>
        <sz val="11"/>
        <color indexed="8"/>
        <rFont val="Calibri"/>
        <family val="2"/>
      </rPr>
      <t xml:space="preserve"> (2*(29,41+11,81+3,54)+4,99)*1,27= 120,03 m²</t>
    </r>
  </si>
  <si>
    <r>
      <rPr>
        <b/>
        <sz val="11"/>
        <color indexed="8"/>
        <rFont val="Calibri"/>
        <family val="2"/>
      </rPr>
      <t xml:space="preserve">Impermeabilização de baldrames      </t>
    </r>
    <r>
      <rPr>
        <sz val="11"/>
        <color rgb="FF000000"/>
        <rFont val="Calibri"/>
        <family val="2"/>
      </rPr>
      <t xml:space="preserve">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Baldrames 15x30: </t>
    </r>
    <r>
      <rPr>
        <sz val="11"/>
        <color rgb="FF000000"/>
        <rFont val="Calibri"/>
        <family val="2"/>
      </rPr>
      <t xml:space="preserve">(164,5 x 0,15) + 2 x (164,5 x 0,30)= 123,38 m²                                             </t>
    </r>
    <r>
      <rPr>
        <b/>
        <sz val="11"/>
        <color indexed="8"/>
        <rFont val="Calibri"/>
        <family val="2"/>
      </rPr>
      <t xml:space="preserve">Baldrame 30x30: </t>
    </r>
    <r>
      <rPr>
        <sz val="11"/>
        <color rgb="FF000000"/>
        <rFont val="Calibri"/>
        <family val="2"/>
      </rPr>
      <t>(4,10 x 0,30) + 2 x (4,10 x 0,30) = 3,69 m²</t>
    </r>
  </si>
  <si>
    <r>
      <rPr>
        <b/>
        <sz val="11"/>
        <color indexed="8"/>
        <rFont val="Calibri"/>
        <family val="2"/>
      </rPr>
      <t xml:space="preserve">Paredes externas: </t>
    </r>
    <r>
      <rPr>
        <sz val="11"/>
        <color indexed="8"/>
        <rFont val="Calibri"/>
        <family val="2"/>
      </rPr>
      <t xml:space="preserve">180,03 m² </t>
    </r>
    <r>
      <rPr>
        <b/>
        <sz val="11"/>
        <color indexed="8"/>
        <rFont val="Calibri"/>
        <family val="2"/>
      </rPr>
      <t xml:space="preserve">                                                                               Lavanderia: </t>
    </r>
    <r>
      <rPr>
        <sz val="11"/>
        <color indexed="8"/>
        <rFont val="Calibri"/>
        <family val="2"/>
      </rPr>
      <t xml:space="preserve">19,37 m² 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Cozinha: </t>
    </r>
    <r>
      <rPr>
        <sz val="11"/>
        <color indexed="8"/>
        <rFont val="Calibri"/>
        <family val="2"/>
      </rPr>
      <t xml:space="preserve">54,68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Depósito:</t>
    </r>
    <r>
      <rPr>
        <sz val="11"/>
        <color indexed="8"/>
        <rFont val="Calibri"/>
        <family val="2"/>
      </rPr>
      <t xml:space="preserve"> 11,82 m²,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Refeitório: </t>
    </r>
    <r>
      <rPr>
        <sz val="11"/>
        <color indexed="8"/>
        <rFont val="Calibri"/>
        <family val="2"/>
      </rPr>
      <t>13,05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Sala Prof.: </t>
    </r>
    <r>
      <rPr>
        <sz val="11"/>
        <color indexed="8"/>
        <rFont val="Calibri"/>
        <family val="2"/>
      </rPr>
      <t xml:space="preserve">52,92 m²,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Sanitário M/F:</t>
    </r>
    <r>
      <rPr>
        <sz val="11"/>
        <color indexed="8"/>
        <rFont val="Calibri"/>
        <family val="2"/>
      </rPr>
      <t xml:space="preserve"> 14,87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Secretaria: </t>
    </r>
    <r>
      <rPr>
        <sz val="11"/>
        <color indexed="8"/>
        <rFont val="Calibri"/>
        <family val="2"/>
      </rPr>
      <t xml:space="preserve">37,02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Pré-Escola:</t>
    </r>
    <r>
      <rPr>
        <sz val="11"/>
        <color indexed="8"/>
        <rFont val="Calibri"/>
        <family val="2"/>
      </rPr>
      <t xml:space="preserve"> 38,22 m²,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Lactário:</t>
    </r>
    <r>
      <rPr>
        <sz val="11"/>
        <color indexed="8"/>
        <rFont val="Calibri"/>
        <family val="2"/>
      </rPr>
      <t xml:space="preserve"> 24,94 m²,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Banho:</t>
    </r>
    <r>
      <rPr>
        <sz val="11"/>
        <color indexed="8"/>
        <rFont val="Calibri"/>
        <family val="2"/>
      </rPr>
      <t xml:space="preserve"> 22,42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Creche:</t>
    </r>
    <r>
      <rPr>
        <sz val="11"/>
        <color indexed="8"/>
        <rFont val="Calibri"/>
        <family val="2"/>
      </rPr>
      <t xml:space="preserve"> 44,10 m²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Pré-escola I: </t>
    </r>
    <r>
      <rPr>
        <sz val="11"/>
        <color indexed="8"/>
        <rFont val="Calibri"/>
        <family val="2"/>
      </rPr>
      <t xml:space="preserve">42,6 m²,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Sanit. Masc.: </t>
    </r>
    <r>
      <rPr>
        <sz val="11"/>
        <color indexed="8"/>
        <rFont val="Calibri"/>
        <family val="2"/>
      </rPr>
      <t xml:space="preserve">20,47 m²,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Sanit. Fem.:</t>
    </r>
    <r>
      <rPr>
        <sz val="11"/>
        <color indexed="8"/>
        <rFont val="Calibri"/>
        <family val="2"/>
      </rPr>
      <t xml:space="preserve"> 20,47 m²,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Sala Leitura: </t>
    </r>
    <r>
      <rPr>
        <sz val="11"/>
        <color indexed="8"/>
        <rFont val="Calibri"/>
        <family val="2"/>
      </rPr>
      <t>45,74 m²</t>
    </r>
  </si>
  <si>
    <r>
      <rPr>
        <b/>
        <sz val="11"/>
        <color indexed="8"/>
        <rFont val="Calibri"/>
        <family val="2"/>
      </rPr>
      <t>Paredes externas:</t>
    </r>
    <r>
      <rPr>
        <sz val="11"/>
        <color indexed="8"/>
        <rFont val="Calibri"/>
        <family val="2"/>
      </rPr>
      <t xml:space="preserve"> 180,03 m²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Forros: </t>
    </r>
    <r>
      <rPr>
        <sz val="11"/>
        <color indexed="8"/>
        <rFont val="Calibri"/>
        <family val="2"/>
      </rPr>
      <t xml:space="preserve">235,47 m²,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Depósito:</t>
    </r>
    <r>
      <rPr>
        <sz val="11"/>
        <color indexed="8"/>
        <rFont val="Calibri"/>
        <family val="2"/>
      </rPr>
      <t xml:space="preserve"> 11,82 m²,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Refeitório: </t>
    </r>
    <r>
      <rPr>
        <sz val="11"/>
        <color indexed="8"/>
        <rFont val="Calibri"/>
        <family val="2"/>
      </rPr>
      <t>13,05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Sala Prof.: </t>
    </r>
    <r>
      <rPr>
        <sz val="11"/>
        <color indexed="8"/>
        <rFont val="Calibri"/>
        <family val="2"/>
      </rPr>
      <t xml:space="preserve">52,92  m²,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Secretaria: </t>
    </r>
    <r>
      <rPr>
        <sz val="11"/>
        <color indexed="8"/>
        <rFont val="Calibri"/>
        <family val="2"/>
      </rPr>
      <t xml:space="preserve">37,02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Pré-Escola:</t>
    </r>
    <r>
      <rPr>
        <sz val="11"/>
        <color indexed="8"/>
        <rFont val="Calibri"/>
        <family val="2"/>
      </rPr>
      <t xml:space="preserve"> 30,4 m²,  (meia Parede)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Creche:</t>
    </r>
    <r>
      <rPr>
        <sz val="11"/>
        <color indexed="8"/>
        <rFont val="Calibri"/>
        <family val="2"/>
      </rPr>
      <t xml:space="preserve"> 34,01 m² (meia Parede)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Pré-escola I: </t>
    </r>
    <r>
      <rPr>
        <sz val="11"/>
        <color indexed="8"/>
        <rFont val="Calibri"/>
        <family val="2"/>
      </rPr>
      <t xml:space="preserve">13,83 m²,  (meia Parede)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Sala Leitura: </t>
    </r>
    <r>
      <rPr>
        <sz val="11"/>
        <color indexed="8"/>
        <rFont val="Calibri"/>
        <family val="2"/>
      </rPr>
      <t>45,74 m²</t>
    </r>
  </si>
  <si>
    <r>
      <rPr>
        <b/>
        <sz val="11"/>
        <color indexed="8"/>
        <rFont val="Calibri"/>
        <family val="2"/>
      </rPr>
      <t>Paredes externas:</t>
    </r>
    <r>
      <rPr>
        <sz val="11"/>
        <color indexed="8"/>
        <rFont val="Calibri"/>
        <family val="2"/>
      </rPr>
      <t xml:space="preserve"> 180,03 m²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Depósito:</t>
    </r>
    <r>
      <rPr>
        <sz val="11"/>
        <color indexed="8"/>
        <rFont val="Calibri"/>
        <family val="2"/>
      </rPr>
      <t xml:space="preserve"> 11,82 m²,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Refeitório: </t>
    </r>
    <r>
      <rPr>
        <sz val="11"/>
        <color indexed="8"/>
        <rFont val="Calibri"/>
        <family val="2"/>
      </rPr>
      <t>13,05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Sala Prof.: </t>
    </r>
    <r>
      <rPr>
        <sz val="11"/>
        <color indexed="8"/>
        <rFont val="Calibri"/>
        <family val="2"/>
      </rPr>
      <t xml:space="preserve">52,92  m²,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Secretaria: </t>
    </r>
    <r>
      <rPr>
        <sz val="11"/>
        <color indexed="8"/>
        <rFont val="Calibri"/>
        <family val="2"/>
      </rPr>
      <t xml:space="preserve">37,02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Pré-Escola:</t>
    </r>
    <r>
      <rPr>
        <sz val="11"/>
        <color indexed="8"/>
        <rFont val="Calibri"/>
        <family val="2"/>
      </rPr>
      <t xml:space="preserve"> 30,4 m²,  (meia Parede)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Creche:</t>
    </r>
    <r>
      <rPr>
        <sz val="11"/>
        <color indexed="8"/>
        <rFont val="Calibri"/>
        <family val="2"/>
      </rPr>
      <t xml:space="preserve"> 34,01 m²  (meia Parede)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Pré-escola I: </t>
    </r>
    <r>
      <rPr>
        <sz val="11"/>
        <color indexed="8"/>
        <rFont val="Calibri"/>
        <family val="2"/>
      </rPr>
      <t xml:space="preserve">13,83 m²,  (meia Parede)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Sala Leitura: </t>
    </r>
    <r>
      <rPr>
        <sz val="11"/>
        <color indexed="8"/>
        <rFont val="Calibri"/>
        <family val="2"/>
      </rPr>
      <t>45,74 m²</t>
    </r>
  </si>
  <si>
    <r>
      <rPr>
        <b/>
        <sz val="11"/>
        <color indexed="8"/>
        <rFont val="Calibri"/>
        <family val="2"/>
      </rPr>
      <t xml:space="preserve">Paredes externas: </t>
    </r>
    <r>
      <rPr>
        <sz val="11"/>
        <color indexed="8"/>
        <rFont val="Calibri"/>
        <family val="2"/>
      </rPr>
      <t xml:space="preserve">180,03 m² </t>
    </r>
    <r>
      <rPr>
        <b/>
        <sz val="11"/>
        <color indexed="8"/>
        <rFont val="Calibri"/>
        <family val="2"/>
      </rPr>
      <t xml:space="preserve">                                                                               Lavanderia: </t>
    </r>
    <r>
      <rPr>
        <sz val="11"/>
        <color indexed="8"/>
        <rFont val="Calibri"/>
        <family val="2"/>
      </rPr>
      <t xml:space="preserve">19,37 m² 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Cozinha: </t>
    </r>
    <r>
      <rPr>
        <sz val="11"/>
        <color indexed="8"/>
        <rFont val="Calibri"/>
        <family val="2"/>
      </rPr>
      <t xml:space="preserve">54,68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Depósito:</t>
    </r>
    <r>
      <rPr>
        <sz val="11"/>
        <color indexed="8"/>
        <rFont val="Calibri"/>
        <family val="2"/>
      </rPr>
      <t xml:space="preserve"> 11,82 m²,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Refeitório: </t>
    </r>
    <r>
      <rPr>
        <sz val="11"/>
        <color indexed="8"/>
        <rFont val="Calibri"/>
        <family val="2"/>
      </rPr>
      <t>13,05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Sala Prof.: </t>
    </r>
    <r>
      <rPr>
        <sz val="11"/>
        <color indexed="8"/>
        <rFont val="Calibri"/>
        <family val="2"/>
      </rPr>
      <t xml:space="preserve">52,92 m²,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Sanitário M/F:</t>
    </r>
    <r>
      <rPr>
        <sz val="11"/>
        <color indexed="8"/>
        <rFont val="Calibri"/>
        <family val="2"/>
      </rPr>
      <t xml:space="preserve"> 14,87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Secretaria: </t>
    </r>
    <r>
      <rPr>
        <sz val="11"/>
        <color indexed="8"/>
        <rFont val="Calibri"/>
        <family val="2"/>
      </rPr>
      <t xml:space="preserve">37,02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Pré-Escola:</t>
    </r>
    <r>
      <rPr>
        <sz val="11"/>
        <color indexed="8"/>
        <rFont val="Calibri"/>
        <family val="2"/>
      </rPr>
      <t xml:space="preserve"> 38,22 m²,                                                                                                   </t>
    </r>
    <r>
      <rPr>
        <b/>
        <sz val="11"/>
        <color indexed="8"/>
        <rFont val="Calibri"/>
        <family val="2"/>
      </rPr>
      <t>Lactário:</t>
    </r>
    <r>
      <rPr>
        <sz val="11"/>
        <color indexed="8"/>
        <rFont val="Calibri"/>
        <family val="2"/>
      </rPr>
      <t xml:space="preserve"> 24,94 m²,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Banho:</t>
    </r>
    <r>
      <rPr>
        <sz val="11"/>
        <color indexed="8"/>
        <rFont val="Calibri"/>
        <family val="2"/>
      </rPr>
      <t xml:space="preserve"> 22,42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Creche:</t>
    </r>
    <r>
      <rPr>
        <sz val="11"/>
        <color indexed="8"/>
        <rFont val="Calibri"/>
        <family val="2"/>
      </rPr>
      <t xml:space="preserve"> 44,10 m²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Pré-escola I: </t>
    </r>
    <r>
      <rPr>
        <sz val="11"/>
        <color indexed="8"/>
        <rFont val="Calibri"/>
        <family val="2"/>
      </rPr>
      <t xml:space="preserve">42,6 m²,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Sanit. Masc.: </t>
    </r>
    <r>
      <rPr>
        <sz val="11"/>
        <color indexed="8"/>
        <rFont val="Calibri"/>
        <family val="2"/>
      </rPr>
      <t xml:space="preserve">20,47 m²,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Sanit. Fem.:</t>
    </r>
    <r>
      <rPr>
        <sz val="11"/>
        <color indexed="8"/>
        <rFont val="Calibri"/>
        <family val="2"/>
      </rPr>
      <t xml:space="preserve"> 20,47 m²,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Sala Leitura: </t>
    </r>
    <r>
      <rPr>
        <sz val="11"/>
        <color indexed="8"/>
        <rFont val="Calibri"/>
        <family val="2"/>
      </rPr>
      <t>45,74 m²</t>
    </r>
  </si>
  <si>
    <r>
      <rPr>
        <b/>
        <sz val="11"/>
        <color indexed="8"/>
        <rFont val="Calibri"/>
        <family val="2"/>
      </rPr>
      <t xml:space="preserve">Lavanderia: </t>
    </r>
    <r>
      <rPr>
        <sz val="11"/>
        <color indexed="8"/>
        <rFont val="Calibri"/>
        <family val="2"/>
      </rPr>
      <t>29,04</t>
    </r>
    <r>
      <rPr>
        <sz val="11"/>
        <color indexed="8"/>
        <rFont val="Calibri"/>
        <family val="2"/>
      </rPr>
      <t xml:space="preserve"> m² 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Cozinha: </t>
    </r>
    <r>
      <rPr>
        <sz val="11"/>
        <color indexed="8"/>
        <rFont val="Calibri"/>
        <family val="2"/>
      </rPr>
      <t>59,68</t>
    </r>
    <r>
      <rPr>
        <sz val="11"/>
        <color indexed="8"/>
        <rFont val="Calibri"/>
        <family val="2"/>
      </rPr>
      <t xml:space="preserve"> m²,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Refeitório: </t>
    </r>
    <r>
      <rPr>
        <sz val="11"/>
        <color indexed="8"/>
        <rFont val="Calibri"/>
        <family val="2"/>
      </rPr>
      <t>31,04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Sanitário M/F:</t>
    </r>
    <r>
      <rPr>
        <sz val="11"/>
        <color indexed="8"/>
        <rFont val="Calibri"/>
        <family val="2"/>
      </rPr>
      <t xml:space="preserve"> 19,67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Pré-Escola:</t>
    </r>
    <r>
      <rPr>
        <sz val="11"/>
        <color indexed="8"/>
        <rFont val="Calibri"/>
        <family val="2"/>
      </rPr>
      <t xml:space="preserve"> 18,92 m²,  (até 1,10m de altura)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Lactário: </t>
    </r>
    <r>
      <rPr>
        <sz val="11"/>
        <color indexed="8"/>
        <rFont val="Calibri"/>
        <family val="2"/>
      </rPr>
      <t xml:space="preserve">41,44 m²,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Banho:</t>
    </r>
    <r>
      <rPr>
        <sz val="11"/>
        <color indexed="8"/>
        <rFont val="Calibri"/>
        <family val="2"/>
      </rPr>
      <t xml:space="preserve"> 33,52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Creche:</t>
    </r>
    <r>
      <rPr>
        <sz val="11"/>
        <color indexed="8"/>
        <rFont val="Calibri"/>
        <family val="2"/>
      </rPr>
      <t xml:space="preserve"> 20,13 m²   (até 1,10m de altura)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Pré-escola I: </t>
    </r>
    <r>
      <rPr>
        <sz val="11"/>
        <color indexed="8"/>
        <rFont val="Calibri"/>
        <family val="2"/>
      </rPr>
      <t xml:space="preserve">19,54 m²,  (até 1,10m de altura)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Sanit. Masc.: </t>
    </r>
    <r>
      <rPr>
        <sz val="11"/>
        <color indexed="8"/>
        <rFont val="Calibri"/>
        <family val="2"/>
      </rPr>
      <t xml:space="preserve">32,62 m²,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Sanit. Fem.:</t>
    </r>
    <r>
      <rPr>
        <sz val="11"/>
        <color indexed="8"/>
        <rFont val="Calibri"/>
        <family val="2"/>
      </rPr>
      <t xml:space="preserve"> 32,62 m²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</si>
  <si>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 xml:space="preserve">Soleiras de portas: </t>
    </r>
    <r>
      <rPr>
        <sz val="11"/>
        <color indexed="8"/>
        <rFont val="Calibri"/>
        <family val="2"/>
      </rPr>
      <t>15x0,8= 12 m                                                                                                6x0,6=  3,6 m                                                                                                                                             1x1,00= 1,00 m</t>
    </r>
  </si>
  <si>
    <r>
      <rPr>
        <b/>
        <sz val="11"/>
        <color indexed="8"/>
        <rFont val="Calibri"/>
        <family val="2"/>
      </rPr>
      <t>Banho:</t>
    </r>
    <r>
      <rPr>
        <sz val="11"/>
        <color rgb="FF000000"/>
        <rFont val="Calibri"/>
        <family val="2"/>
      </rPr>
      <t xml:space="preserve"> (2,00+2,80+1,10)*0,60= 3,54 m²,                                                                    </t>
    </r>
    <r>
      <rPr>
        <b/>
        <sz val="11"/>
        <color indexed="8"/>
        <rFont val="Calibri"/>
        <family val="2"/>
      </rPr>
      <t xml:space="preserve">Lactário: </t>
    </r>
    <r>
      <rPr>
        <sz val="11"/>
        <color rgb="FF000000"/>
        <rFont val="Calibri"/>
        <family val="2"/>
      </rPr>
      <t xml:space="preserve">(1,75+0,40)*0,60= 1,29 m²,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San. Masc.:</t>
    </r>
    <r>
      <rPr>
        <sz val="11"/>
        <color rgb="FF000000"/>
        <rFont val="Calibri"/>
        <family val="2"/>
      </rPr>
      <t xml:space="preserve"> (1,58*0,45)= 0,71 m²,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San. Fem.: </t>
    </r>
    <r>
      <rPr>
        <sz val="11"/>
        <color rgb="FF000000"/>
        <rFont val="Calibri"/>
        <family val="2"/>
      </rPr>
      <t xml:space="preserve">(1,58*0,45)= 0,71 m²,                                                                                        </t>
    </r>
    <r>
      <rPr>
        <b/>
        <sz val="11"/>
        <color indexed="8"/>
        <rFont val="Calibri"/>
        <family val="2"/>
      </rPr>
      <t>Sanit. M/F:</t>
    </r>
    <r>
      <rPr>
        <sz val="11"/>
        <color rgb="FF000000"/>
        <rFont val="Calibri"/>
        <family val="2"/>
      </rPr>
      <t xml:space="preserve"> (0,97*0,50) = 0,49 m²,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Cozinha: </t>
    </r>
    <r>
      <rPr>
        <sz val="11"/>
        <color rgb="FF000000"/>
        <rFont val="Calibri"/>
        <family val="2"/>
      </rPr>
      <t xml:space="preserve">(1,75*0,44)+((2,13+4,05)*0,60)+(1,60*0,40) = 5,12 m²,              </t>
    </r>
    <r>
      <rPr>
        <b/>
        <sz val="11"/>
        <color indexed="8"/>
        <rFont val="Calibri"/>
        <family val="2"/>
      </rPr>
      <t xml:space="preserve">Secretaria: </t>
    </r>
    <r>
      <rPr>
        <sz val="11"/>
        <color rgb="FF000000"/>
        <rFont val="Calibri"/>
        <family val="2"/>
      </rPr>
      <t>(1,60*0,40) = 0,64 m²</t>
    </r>
  </si>
  <si>
    <r>
      <rPr>
        <b/>
        <sz val="11"/>
        <color indexed="8"/>
        <rFont val="Calibri"/>
        <family val="2"/>
      </rPr>
      <t>Depósito:</t>
    </r>
    <r>
      <rPr>
        <sz val="11"/>
        <color indexed="8"/>
        <rFont val="Calibri"/>
        <family val="2"/>
      </rPr>
      <t xml:space="preserve"> 11,82 m²,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Refeitório: </t>
    </r>
    <r>
      <rPr>
        <sz val="11"/>
        <color indexed="8"/>
        <rFont val="Calibri"/>
        <family val="2"/>
      </rPr>
      <t>13,05 m²,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Sala Prof.: </t>
    </r>
    <r>
      <rPr>
        <sz val="11"/>
        <color indexed="8"/>
        <rFont val="Calibri"/>
        <family val="2"/>
      </rPr>
      <t xml:space="preserve">52,92  m²,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Secretaria: </t>
    </r>
    <r>
      <rPr>
        <sz val="11"/>
        <color indexed="8"/>
        <rFont val="Calibri"/>
        <family val="2"/>
      </rPr>
      <t xml:space="preserve">37,02 m²,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Pré-Escola:</t>
    </r>
    <r>
      <rPr>
        <sz val="11"/>
        <color indexed="8"/>
        <rFont val="Calibri"/>
        <family val="2"/>
      </rPr>
      <t xml:space="preserve"> 30,4 m², (meia Parede)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Creche:</t>
    </r>
    <r>
      <rPr>
        <sz val="11"/>
        <color indexed="8"/>
        <rFont val="Calibri"/>
        <family val="2"/>
      </rPr>
      <t xml:space="preserve"> 34,01 m²  (meia Parede)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Pré-escola I: </t>
    </r>
    <r>
      <rPr>
        <sz val="11"/>
        <color indexed="8"/>
        <rFont val="Calibri"/>
        <family val="2"/>
      </rPr>
      <t xml:space="preserve">13,83 m², (meia Parede)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Sala Leitura: </t>
    </r>
    <r>
      <rPr>
        <sz val="11"/>
        <color indexed="8"/>
        <rFont val="Calibri"/>
        <family val="2"/>
      </rPr>
      <t>45,74 m²</t>
    </r>
  </si>
  <si>
    <r>
      <rPr>
        <b/>
        <sz val="11"/>
        <rFont val="Calibri"/>
        <family val="2"/>
      </rPr>
      <t>Muro externo</t>
    </r>
    <r>
      <rPr>
        <sz val="11"/>
        <rFont val="Calibri"/>
        <family val="2"/>
      </rPr>
      <t>: (40,84+12,25+43,63+18,06)=114,78m</t>
    </r>
  </si>
  <si>
    <r>
      <rPr>
        <b/>
        <sz val="11"/>
        <color indexed="8"/>
        <rFont val="Calibri"/>
        <family val="2"/>
      </rPr>
      <t>Área da Construção =</t>
    </r>
    <r>
      <rPr>
        <sz val="11"/>
        <color indexed="8"/>
        <rFont val="Calibri"/>
        <family val="2"/>
      </rPr>
      <t xml:space="preserve"> 289,86 m²</t>
    </r>
  </si>
  <si>
    <r>
      <rPr>
        <b/>
        <sz val="11"/>
        <color indexed="8"/>
        <rFont val="Calibri"/>
        <family val="2"/>
      </rPr>
      <t>Prateleiras do Depósito:</t>
    </r>
    <r>
      <rPr>
        <sz val="11"/>
        <color indexed="8"/>
        <rFont val="Calibri"/>
        <family val="2"/>
      </rPr>
      <t xml:space="preserve"> (2,10+1,35)*0,4 =  1,38 x 3  = 4,14 m³</t>
    </r>
  </si>
  <si>
    <r>
      <rPr>
        <b/>
        <sz val="11"/>
        <color indexed="8"/>
        <rFont val="Calibri"/>
        <family val="2"/>
      </rPr>
      <t xml:space="preserve">Piso no entorno da edificação: </t>
    </r>
    <r>
      <rPr>
        <sz val="11"/>
        <color rgb="FF000000"/>
        <rFont val="Calibri"/>
        <family val="2"/>
      </rPr>
      <t>((3+26,44+4,83)x4,35)+(22,15x3,15)+((3,15+10,45+4,35)x3)+(13,66x5)= 341 m²</t>
    </r>
  </si>
  <si>
    <r>
      <t>Área de Piso interna:</t>
    </r>
    <r>
      <rPr>
        <sz val="11"/>
        <color indexed="8"/>
        <rFont val="Calibri"/>
        <family val="2"/>
      </rPr>
      <t xml:space="preserve"> 247,89 m2</t>
    </r>
  </si>
  <si>
    <r>
      <t xml:space="preserve">Área de Piso interna: </t>
    </r>
    <r>
      <rPr>
        <sz val="11"/>
        <color indexed="8"/>
        <rFont val="Calibri"/>
        <family val="2"/>
      </rPr>
      <t>247,89 m2</t>
    </r>
  </si>
  <si>
    <r>
      <rPr>
        <b/>
        <sz val="11"/>
        <color indexed="8"/>
        <rFont val="Calibri"/>
        <family val="2"/>
      </rPr>
      <t xml:space="preserve">Calha: </t>
    </r>
    <r>
      <rPr>
        <sz val="11"/>
        <color indexed="8"/>
        <rFont val="Calibri"/>
        <family val="2"/>
      </rPr>
      <t>3,54+29,41 = 32,95 m</t>
    </r>
  </si>
  <si>
    <t>29,41 m</t>
  </si>
  <si>
    <r>
      <rPr>
        <b/>
        <sz val="11"/>
        <color indexed="8"/>
        <rFont val="Calibri"/>
        <family val="2"/>
      </rPr>
      <t xml:space="preserve">Área de cobertura: </t>
    </r>
    <r>
      <rPr>
        <sz val="11"/>
        <color indexed="8"/>
        <rFont val="Calibri"/>
        <family val="2"/>
      </rPr>
      <t>289,86 m²</t>
    </r>
  </si>
  <si>
    <r>
      <rPr>
        <b/>
        <sz val="11"/>
        <color indexed="8"/>
        <rFont val="Calibri"/>
        <family val="2"/>
      </rPr>
      <t xml:space="preserve">Espelhos dos banheiros: </t>
    </r>
    <r>
      <rPr>
        <sz val="11"/>
        <color indexed="8"/>
        <rFont val="Calibri"/>
        <family val="2"/>
      </rPr>
      <t>0,97 x 1,00 = 0,97 m²                                                                                                         3 x (1,00 x 1,20) = 3,60 m²</t>
    </r>
  </si>
  <si>
    <r>
      <rPr>
        <b/>
        <sz val="11"/>
        <color indexed="8"/>
        <rFont val="Calibri"/>
        <family val="2"/>
      </rPr>
      <t>Área de Janelas:</t>
    </r>
    <r>
      <rPr>
        <sz val="11"/>
        <color indexed="8"/>
        <rFont val="Calibri"/>
        <family val="2"/>
      </rPr>
      <t xml:space="preserve"> 12 +7,3 = 19,3 m²</t>
    </r>
  </si>
  <si>
    <r>
      <t>Referenciais de Preço:</t>
    </r>
    <r>
      <rPr>
        <sz val="10"/>
        <color indexed="8"/>
        <rFont val="Calibri"/>
        <family val="2"/>
      </rPr>
      <t> 801101 - TABELA CUSTOS LABOR/CT-UFES PADRÃO IOPES SETEMBRO/2018 (LS=128,33%; BDI=30,90%)</t>
    </r>
  </si>
  <si>
    <t>CAP PVC ESGOTO 50MM (TAMPÃO) - FORNECIMENTO E INSTALAÇÃO</t>
  </si>
  <si>
    <t>7.1</t>
  </si>
  <si>
    <t>7.1.1</t>
  </si>
  <si>
    <t>7.2</t>
  </si>
  <si>
    <t>7.2.1</t>
  </si>
  <si>
    <t>8.3</t>
  </si>
  <si>
    <t>8.3.1</t>
  </si>
  <si>
    <t>8.3.2</t>
  </si>
  <si>
    <t>10.1</t>
  </si>
  <si>
    <t>10.1.1</t>
  </si>
  <si>
    <t>11.2</t>
  </si>
  <si>
    <t>11.2.1</t>
  </si>
  <si>
    <t>11.3</t>
  </si>
  <si>
    <t>11.3.1</t>
  </si>
  <si>
    <t>12.1.2</t>
  </si>
  <si>
    <t>12.2.2</t>
  </si>
  <si>
    <t>12.3.1</t>
  </si>
  <si>
    <t>13.3.2</t>
  </si>
  <si>
    <t>13.4</t>
  </si>
  <si>
    <t>13.4.1</t>
  </si>
  <si>
    <t>13.4.2</t>
  </si>
  <si>
    <t>13.4.3</t>
  </si>
  <si>
    <t>13.4.4</t>
  </si>
  <si>
    <t>13.4.5</t>
  </si>
  <si>
    <t>13.5</t>
  </si>
  <si>
    <t>13.5.1</t>
  </si>
  <si>
    <t>13.5.2</t>
  </si>
  <si>
    <t>13.5.3</t>
  </si>
  <si>
    <t>13.5.4</t>
  </si>
  <si>
    <t>13.5.5</t>
  </si>
  <si>
    <t>13.5.6</t>
  </si>
  <si>
    <t>13.5.7</t>
  </si>
  <si>
    <t>13.5.8</t>
  </si>
  <si>
    <t>13.5.9</t>
  </si>
  <si>
    <t>13.5.10</t>
  </si>
  <si>
    <t>13.5.11</t>
  </si>
  <si>
    <t>13.5.12</t>
  </si>
  <si>
    <t>13.5.13</t>
  </si>
  <si>
    <t>13.5.14</t>
  </si>
  <si>
    <t>13.5.15</t>
  </si>
  <si>
    <t>13.5.16</t>
  </si>
  <si>
    <t>13.5.17</t>
  </si>
  <si>
    <t>13.5.18</t>
  </si>
  <si>
    <t>13.5.19</t>
  </si>
  <si>
    <t>13.5.20</t>
  </si>
  <si>
    <t>13.6</t>
  </si>
  <si>
    <t>13.6.1</t>
  </si>
  <si>
    <t>13.6.2</t>
  </si>
  <si>
    <t>13.6.3</t>
  </si>
  <si>
    <t>13.7</t>
  </si>
  <si>
    <t>13.7.1</t>
  </si>
  <si>
    <t>13.7.2</t>
  </si>
  <si>
    <t>13.7.3</t>
  </si>
  <si>
    <t>13.8</t>
  </si>
  <si>
    <t>13.8.1</t>
  </si>
  <si>
    <t>13.8.2</t>
  </si>
  <si>
    <t>13.8.3</t>
  </si>
  <si>
    <t>13.8.4</t>
  </si>
  <si>
    <t>13.8.5</t>
  </si>
  <si>
    <t>13.8.6</t>
  </si>
  <si>
    <t>13.8.7</t>
  </si>
  <si>
    <t>13.8.8</t>
  </si>
  <si>
    <t>13.8.9</t>
  </si>
  <si>
    <t>13.8.10</t>
  </si>
  <si>
    <t>13.9</t>
  </si>
  <si>
    <t>13.9.1</t>
  </si>
  <si>
    <t>13.9.2</t>
  </si>
  <si>
    <t>13.9.3</t>
  </si>
  <si>
    <t>13.9.4</t>
  </si>
  <si>
    <t>13.9.5</t>
  </si>
  <si>
    <t>13.9.6</t>
  </si>
  <si>
    <t>13.10</t>
  </si>
  <si>
    <t>13.10.1</t>
  </si>
  <si>
    <t>13.10.2</t>
  </si>
  <si>
    <t>13.10.3</t>
  </si>
  <si>
    <t>13.10.4</t>
  </si>
  <si>
    <t>14.1.3</t>
  </si>
  <si>
    <t>14.1.4</t>
  </si>
  <si>
    <t>14.1.5</t>
  </si>
  <si>
    <t>14.2.1</t>
  </si>
  <si>
    <t>14.3.3</t>
  </si>
  <si>
    <t>14.3.4</t>
  </si>
  <si>
    <t>14.3.5</t>
  </si>
  <si>
    <t>14.3.6</t>
  </si>
  <si>
    <t>15.5.1</t>
  </si>
  <si>
    <t>15.6.7</t>
  </si>
  <si>
    <t>15.7.3</t>
  </si>
  <si>
    <t>15.8</t>
  </si>
  <si>
    <t>15.8.1</t>
  </si>
  <si>
    <t>15.8.2</t>
  </si>
  <si>
    <t>15.8.3</t>
  </si>
  <si>
    <t>15.8.4</t>
  </si>
  <si>
    <t>15.8.5</t>
  </si>
  <si>
    <t>15.9.2</t>
  </si>
  <si>
    <t>15.10</t>
  </si>
  <si>
    <t>15.10.1</t>
  </si>
  <si>
    <t>16.2</t>
  </si>
  <si>
    <t>16.2.1</t>
  </si>
  <si>
    <t>18.1</t>
  </si>
  <si>
    <t>18.1.1</t>
  </si>
  <si>
    <t>18.2</t>
  </si>
  <si>
    <t>18.2.1</t>
  </si>
  <si>
    <t>19.2</t>
  </si>
  <si>
    <t>19.2.1</t>
  </si>
  <si>
    <t>TOTAL DO ITEM 06</t>
  </si>
  <si>
    <t>801101 - TABELA CUSTOS LABOR/CT-UFES PADRÃO IOPES SETEMBRO/2018   BDI=30,90%; LS=128,33%</t>
  </si>
  <si>
    <t>ESPECIFICAÇÃO DO SERVIÇO</t>
  </si>
  <si>
    <t>CÓDIGO</t>
  </si>
  <si>
    <t>REF.</t>
  </si>
  <si>
    <t>VALOR TOTAL</t>
  </si>
  <si>
    <t>BUCHA DE REDUCAO DE PVC, SOLDAVEL, LONGA, COM 50 X 25 MM, PARA AGUA FRIA PREDIAL</t>
  </si>
  <si>
    <t>*13.5.21</t>
  </si>
  <si>
    <t>Inserção de Mão de Obra e  BDI nos Insumos de referência SINAPI: (Ref. IOPES SET/18 = BDI=30,90% - AUXILIAR DE ENCANADOR OU BOMBEIRO HIDRAULICO= R$ 9,53/h)</t>
  </si>
  <si>
    <r>
      <rPr>
        <b/>
        <sz val="9"/>
        <color indexed="8"/>
        <rFont val="Calibri"/>
        <family val="2"/>
      </rPr>
      <t xml:space="preserve">Mão-de-Obra (Aux. de encanador ou bombeiro hidráulico = 5 min)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R$ 0,79 + 128,33%(LS) = R$1,80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Material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 xml:space="preserve">R$3,39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>TOTAL = R$ 5,19 + BDI 30,90 % = R$ 6,80</t>
    </r>
  </si>
  <si>
    <t>Data: JANEIRO/2019</t>
  </si>
  <si>
    <t xml:space="preserve">OBRA: Construção de Creche </t>
  </si>
  <si>
    <t>Local: Distrito de Imburana, Ecoporanga-ES</t>
  </si>
  <si>
    <t>Memória de Cálculo                                              OBRA: Construção de Creche</t>
  </si>
  <si>
    <t>Local: Distrito de Imburana, Ecoporanga ES</t>
  </si>
  <si>
    <t>MONTAGEM E DESMONTAGEM DE FÔRMA DE PILARES RETANGULARES E ESTRUTURAS SIMILARES COM ÁREA MÉDIA DAS SEÇÕES MENOR OU IGUAL A 0,25 M², PÉ-DIREITO SIMPLES, EM CHAPA DE MADEIRA COMPENSADA RESINADA, 8 UTILIZAÇÕES. AF_
12/2015</t>
  </si>
  <si>
    <t>MONTAGEM E DESMONTAGEM DE FÔRMA DE VIGA, ESCORAMENTO COM GARFO DE MADEIRA, PÉ-DIREITO SIMPLES, EM CHAPA DE MADEIRA PLASTIFICADA, 10 UTILIZAÇÕES. AF_12/2015</t>
  </si>
  <si>
    <t>4.2.5</t>
  </si>
  <si>
    <t>MONTAGEM E DESMONTAGEM DE FÔRMA DE LAJE MACIÇA COM ÁREA MÉDIA MAIOR QUE 20 M², PÉ-DIREITO SIMPLES, EM MADEIRA SERRADA, 4 UTILIZAÇÕES. AF_12/
2015</t>
  </si>
  <si>
    <t>4.2.6</t>
  </si>
  <si>
    <r>
      <rPr>
        <b/>
        <sz val="11"/>
        <color indexed="8"/>
        <rFont val="Calibri"/>
        <family val="2"/>
      </rPr>
      <t>Vigas:</t>
    </r>
    <r>
      <rPr>
        <sz val="11"/>
        <color rgb="FF000000"/>
        <rFont val="Calibri"/>
        <family val="2"/>
      </rPr>
      <t xml:space="preserve"> 163,85 m²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Estrutura da Caixa D'água</t>
    </r>
    <r>
      <rPr>
        <sz val="11"/>
        <color rgb="FF000000"/>
        <rFont val="Calibri"/>
        <family val="2"/>
      </rPr>
      <t xml:space="preserve"> - </t>
    </r>
    <r>
      <rPr>
        <b/>
        <sz val="11"/>
        <color indexed="8"/>
        <rFont val="Calibri"/>
        <family val="2"/>
      </rPr>
      <t xml:space="preserve">Vigas: </t>
    </r>
    <r>
      <rPr>
        <sz val="11"/>
        <color rgb="FF000000"/>
        <rFont val="Calibri"/>
        <family val="2"/>
      </rPr>
      <t xml:space="preserve">7,68 m²        </t>
    </r>
  </si>
  <si>
    <r>
      <rPr>
        <b/>
        <sz val="11"/>
        <color indexed="8"/>
        <rFont val="Calibri"/>
        <family val="2"/>
      </rPr>
      <t xml:space="preserve"> Lajes: </t>
    </r>
    <r>
      <rPr>
        <sz val="11"/>
        <color rgb="FF000000"/>
        <rFont val="Calibri"/>
        <family val="2"/>
      </rPr>
      <t xml:space="preserve">235,95 m²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Estrutura da Caixa D'água - Laje:</t>
    </r>
    <r>
      <rPr>
        <sz val="11"/>
        <color rgb="FF000000"/>
        <rFont val="Calibri"/>
        <family val="2"/>
      </rPr>
      <t xml:space="preserve"> 6,76 m²</t>
    </r>
  </si>
  <si>
    <t>FABRICAÇÃO, MONTAGEM E DESMONTAGEM DE FÔRMA PARA SAPATA, EM MADEIRA SERRADA, E=25 MM, 4 UTILIZAÇÕES. AF_06/2017</t>
  </si>
  <si>
    <t>FABRICAÇÃO, MONTAGEM E DESMONTAGEM DE FÔRMA PARA VIGA BALDRAME, EM CHAPA DE MADEIRA COMPENSADA RESINADA, E=17 MM, 4 UTILIZAÇÕES. AF_06/2017</t>
  </si>
  <si>
    <r>
      <rPr>
        <b/>
        <sz val="11"/>
        <color indexed="8"/>
        <rFont val="Calibri"/>
        <family val="2"/>
      </rPr>
      <t xml:space="preserve">Baldrames: </t>
    </r>
    <r>
      <rPr>
        <sz val="11"/>
        <color indexed="8"/>
        <rFont val="Calibri"/>
        <family val="2"/>
      </rPr>
      <t xml:space="preserve">101,35 m²,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Estrutura da Caixa D'água -  Baldrames:</t>
    </r>
    <r>
      <rPr>
        <sz val="11"/>
        <color indexed="8"/>
        <rFont val="Calibri"/>
        <family val="2"/>
      </rPr>
      <t xml:space="preserve"> 5,76 m²    </t>
    </r>
  </si>
  <si>
    <t>4.1.5</t>
  </si>
  <si>
    <r>
      <rPr>
        <b/>
        <sz val="11"/>
        <color indexed="8"/>
        <rFont val="Calibri"/>
        <family val="2"/>
      </rPr>
      <t xml:space="preserve">Sapatas: </t>
    </r>
    <r>
      <rPr>
        <sz val="11"/>
        <color rgb="FF000000"/>
        <rFont val="Calibri"/>
        <family val="2"/>
      </rPr>
      <t xml:space="preserve">37,60 m²,  </t>
    </r>
    <r>
      <rPr>
        <b/>
        <sz val="11"/>
        <color indexed="8"/>
        <rFont val="Calibri"/>
        <family val="2"/>
      </rPr>
      <t xml:space="preserve">Pilaretes: </t>
    </r>
    <r>
      <rPr>
        <sz val="11"/>
        <color rgb="FF000000"/>
        <rFont val="Calibri"/>
        <family val="2"/>
      </rPr>
      <t xml:space="preserve">77,70 m²,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Estrutura da Cx. Dágua - Sapatas:</t>
    </r>
    <r>
      <rPr>
        <sz val="11"/>
        <color rgb="FF000000"/>
        <rFont val="Calibri"/>
        <family val="2"/>
      </rPr>
      <t xml:space="preserve"> 3,60 m², </t>
    </r>
    <r>
      <rPr>
        <b/>
        <sz val="11"/>
        <color indexed="8"/>
        <rFont val="Calibri"/>
        <family val="2"/>
      </rPr>
      <t>Pilaretes:</t>
    </r>
    <r>
      <rPr>
        <sz val="11"/>
        <color rgb="FF000000"/>
        <rFont val="Calibri"/>
        <family val="2"/>
      </rPr>
      <t xml:space="preserve"> 7,20 m²      </t>
    </r>
  </si>
  <si>
    <t>MONTAGEM E DESMONTAGEM DE FÔRMA DE PILARES RETANGULARES E ESTRUTURAS SIMILARES COM ÁREA MÉDIA DAS SEÇÕES MENOR OU IGUAL A 0,25 M², PÉ-DIREITO SIMPLES, EM CHAPA DE MADEIRA COMPENSADA RESINADA, 8 UTILIZAÇÕES. AF_12/2015</t>
  </si>
  <si>
    <r>
      <rPr>
        <b/>
        <sz val="11"/>
        <color indexed="8"/>
        <rFont val="Calibri"/>
        <family val="2"/>
      </rPr>
      <t xml:space="preserve">Pilares: </t>
    </r>
    <r>
      <rPr>
        <sz val="11"/>
        <color indexed="8"/>
        <rFont val="Calibri"/>
        <family val="2"/>
      </rPr>
      <t xml:space="preserve">155,40 m²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Estrutura da Cx. Dágua -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Pilares:</t>
    </r>
    <r>
      <rPr>
        <sz val="11"/>
        <color indexed="8"/>
        <rFont val="Calibri"/>
        <family val="2"/>
      </rPr>
      <t xml:space="preserve"> 24 m²                                                                                                                             </t>
    </r>
  </si>
  <si>
    <t>Cobertura em telha termoacustica tipo telha/telha em aço galvanizado trapez. 40, e=0.43mm, pint. face. sup. e infer. cor branca, incl. acess. fix. nucleo em poliuretano (injeção contínua), e=30mm, ref. Isoeste, Sto André, Panissol, Metform ou equi</t>
  </si>
  <si>
    <t>TRAMA DE AÇO COMPOSTA POR TERÇAS PARA TELHADOS DE ATÉ 2 ÁGUAS PARA TELHA ONDULADA DE FIBROCIMENTO, METÁLICA, PLÁSTICA OU TERMOACÚSTICA, INCLUSO TRANSPORTE VERTICAL. AF_12/2015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</si>
</sst>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0.000%"/>
    <numFmt numFmtId="172" formatCode="_(* #.##0.00_);_(* \(#.##0.00\);_(* &quot;-&quot;??_);_(@_)"/>
    <numFmt numFmtId="173" formatCode="#,##0.00_ ;\-#,##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-[$R$-416]* #,##0.00_-;\-[$R$-416]* #,##0.00_-;_-[$R$-416]* &quot;-&quot;??_-;_-@_-"/>
    <numFmt numFmtId="179" formatCode="[$-416]dddd\,\ d&quot; de &quot;mmmm&quot; de &quot;yyyy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 style="medium"/>
      <right/>
      <top/>
      <bottom/>
    </border>
    <border>
      <left/>
      <right style="thin"/>
      <top/>
      <bottom/>
    </border>
    <border>
      <left/>
      <right/>
      <top style="hair"/>
      <bottom style="thin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ill="0" applyBorder="0" applyProtection="0">
      <alignment vertical="top"/>
    </xf>
    <xf numFmtId="9" fontId="3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4" fontId="5" fillId="0" borderId="11" xfId="53" applyNumberFormat="1" applyFont="1" applyFill="1" applyBorder="1" applyAlignment="1">
      <alignment vertical="center" wrapText="1"/>
      <protection/>
    </xf>
    <xf numFmtId="10" fontId="5" fillId="34" borderId="11" xfId="53" applyNumberFormat="1" applyFont="1" applyFill="1" applyBorder="1" applyAlignment="1">
      <alignment/>
      <protection/>
    </xf>
    <xf numFmtId="39" fontId="57" fillId="34" borderId="10" xfId="0" applyNumberFormat="1" applyFont="1" applyFill="1" applyBorder="1" applyAlignment="1">
      <alignment horizontal="center"/>
    </xf>
    <xf numFmtId="39" fontId="57" fillId="34" borderId="12" xfId="0" applyNumberFormat="1" applyFont="1" applyFill="1" applyBorder="1" applyAlignment="1">
      <alignment horizontal="center"/>
    </xf>
    <xf numFmtId="4" fontId="5" fillId="34" borderId="13" xfId="60" applyNumberFormat="1" applyFont="1" applyFill="1" applyBorder="1" applyAlignment="1">
      <alignment vertical="top" wrapText="1"/>
    </xf>
    <xf numFmtId="10" fontId="5" fillId="34" borderId="13" xfId="57" applyNumberFormat="1" applyFont="1" applyFill="1" applyBorder="1" applyAlignment="1">
      <alignment vertical="top" wrapText="1"/>
    </xf>
    <xf numFmtId="10" fontId="5" fillId="34" borderId="10" xfId="0" applyNumberFormat="1" applyFont="1" applyFill="1" applyBorder="1" applyAlignment="1">
      <alignment horizontal="center" vertical="top" wrapText="1"/>
    </xf>
    <xf numFmtId="10" fontId="5" fillId="34" borderId="12" xfId="0" applyNumberFormat="1" applyFont="1" applyFill="1" applyBorder="1" applyAlignment="1">
      <alignment horizontal="center" vertical="top" wrapText="1"/>
    </xf>
    <xf numFmtId="4" fontId="5" fillId="0" borderId="14" xfId="53" applyNumberFormat="1" applyFont="1" applyFill="1" applyBorder="1" applyAlignment="1">
      <alignment vertical="center" wrapText="1"/>
      <protection/>
    </xf>
    <xf numFmtId="10" fontId="5" fillId="34" borderId="14" xfId="53" applyNumberFormat="1" applyFont="1" applyFill="1" applyBorder="1" applyAlignment="1">
      <alignment/>
      <protection/>
    </xf>
    <xf numFmtId="39" fontId="5" fillId="34" borderId="10" xfId="53" applyNumberFormat="1" applyFont="1" applyFill="1" applyBorder="1" applyAlignment="1">
      <alignment horizontal="center"/>
      <protection/>
    </xf>
    <xf numFmtId="10" fontId="5" fillId="34" borderId="10" xfId="53" applyNumberFormat="1" applyFont="1" applyFill="1" applyBorder="1" applyAlignment="1">
      <alignment horizontal="center" vertical="top" wrapText="1"/>
      <protection/>
    </xf>
    <xf numFmtId="0" fontId="5" fillId="34" borderId="15" xfId="53" applyFont="1" applyFill="1" applyBorder="1" applyAlignment="1">
      <alignment/>
      <protection/>
    </xf>
    <xf numFmtId="0" fontId="5" fillId="34" borderId="16" xfId="53" applyFont="1" applyFill="1" applyBorder="1" applyAlignment="1">
      <alignment/>
      <protection/>
    </xf>
    <xf numFmtId="0" fontId="5" fillId="34" borderId="17" xfId="53" applyFont="1" applyFill="1" applyBorder="1" applyAlignment="1">
      <alignment horizontal="right"/>
      <protection/>
    </xf>
    <xf numFmtId="171" fontId="5" fillId="34" borderId="18" xfId="53" applyNumberFormat="1" applyFont="1" applyFill="1" applyBorder="1" applyAlignment="1">
      <alignment horizontal="center"/>
      <protection/>
    </xf>
    <xf numFmtId="0" fontId="5" fillId="34" borderId="19" xfId="53" applyFont="1" applyFill="1" applyBorder="1" applyAlignment="1">
      <alignment/>
      <protection/>
    </xf>
    <xf numFmtId="0" fontId="5" fillId="34" borderId="0" xfId="53" applyFont="1" applyFill="1" applyBorder="1" applyAlignment="1">
      <alignment/>
      <protection/>
    </xf>
    <xf numFmtId="4" fontId="5" fillId="34" borderId="20" xfId="53" applyNumberFormat="1" applyFont="1" applyFill="1" applyBorder="1" applyAlignment="1">
      <alignment horizontal="right"/>
      <protection/>
    </xf>
    <xf numFmtId="172" fontId="5" fillId="34" borderId="21" xfId="60" applyFont="1" applyFill="1" applyBorder="1" applyAlignment="1">
      <alignment horizontal="center"/>
    </xf>
    <xf numFmtId="39" fontId="5" fillId="34" borderId="22" xfId="53" applyNumberFormat="1" applyFont="1" applyFill="1" applyBorder="1" applyAlignment="1">
      <alignment horizontal="center"/>
      <protection/>
    </xf>
    <xf numFmtId="0" fontId="5" fillId="34" borderId="23" xfId="53" applyFont="1" applyFill="1" applyBorder="1" applyAlignment="1">
      <alignment/>
      <protection/>
    </xf>
    <xf numFmtId="0" fontId="5" fillId="34" borderId="24" xfId="53" applyFont="1" applyFill="1" applyBorder="1" applyAlignment="1">
      <alignment/>
      <protection/>
    </xf>
    <xf numFmtId="0" fontId="5" fillId="34" borderId="25" xfId="53" applyFont="1" applyFill="1" applyBorder="1" applyAlignment="1">
      <alignment horizontal="right"/>
      <protection/>
    </xf>
    <xf numFmtId="10" fontId="5" fillId="34" borderId="26" xfId="53" applyNumberFormat="1" applyFont="1" applyFill="1" applyBorder="1" applyAlignment="1">
      <alignment horizontal="center" vertical="top" wrapText="1"/>
      <protection/>
    </xf>
    <xf numFmtId="10" fontId="5" fillId="34" borderId="27" xfId="53" applyNumberFormat="1" applyFont="1" applyFill="1" applyBorder="1" applyAlignment="1">
      <alignment horizontal="center" vertical="top" wrapText="1"/>
      <protection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57" fillId="0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2" fontId="11" fillId="0" borderId="10" xfId="51" applyNumberFormat="1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/>
    </xf>
    <xf numFmtId="2" fontId="57" fillId="0" borderId="0" xfId="0" applyNumberFormat="1" applyFont="1" applyFill="1" applyBorder="1" applyAlignment="1">
      <alignment horizontal="center" vertical="center"/>
    </xf>
    <xf numFmtId="0" fontId="8" fillId="35" borderId="0" xfId="53" applyFont="1" applyFill="1" applyBorder="1" applyAlignment="1">
      <alignment vertical="center" wrapText="1"/>
      <protection/>
    </xf>
    <xf numFmtId="0" fontId="6" fillId="35" borderId="0" xfId="53" applyFont="1" applyFill="1" applyBorder="1" applyAlignment="1">
      <alignment vertical="center"/>
      <protection/>
    </xf>
    <xf numFmtId="0" fontId="6" fillId="34" borderId="29" xfId="53" applyFont="1" applyFill="1" applyBorder="1" applyAlignment="1">
      <alignment horizontal="centerContinuous" vertical="center"/>
      <protection/>
    </xf>
    <xf numFmtId="171" fontId="6" fillId="34" borderId="30" xfId="53" applyNumberFormat="1" applyFont="1" applyFill="1" applyBorder="1" applyAlignment="1">
      <alignment horizontal="centerContinuous" vertical="center"/>
      <protection/>
    </xf>
    <xf numFmtId="0" fontId="6" fillId="34" borderId="31" xfId="53" applyFont="1" applyFill="1" applyBorder="1" applyAlignment="1">
      <alignment horizontal="center" vertical="center"/>
      <protection/>
    </xf>
    <xf numFmtId="171" fontId="6" fillId="34" borderId="32" xfId="53" applyNumberFormat="1" applyFont="1" applyFill="1" applyBorder="1" applyAlignment="1">
      <alignment horizontal="center" vertical="center"/>
      <protection/>
    </xf>
    <xf numFmtId="4" fontId="5" fillId="0" borderId="33" xfId="53" applyNumberFormat="1" applyFont="1" applyFill="1" applyBorder="1" applyAlignment="1">
      <alignment vertical="center" wrapText="1"/>
      <protection/>
    </xf>
    <xf numFmtId="10" fontId="5" fillId="34" borderId="33" xfId="53" applyNumberFormat="1" applyFont="1" applyFill="1" applyBorder="1" applyAlignment="1">
      <alignment/>
      <protection/>
    </xf>
    <xf numFmtId="39" fontId="57" fillId="34" borderId="34" xfId="0" applyNumberFormat="1" applyFont="1" applyFill="1" applyBorder="1" applyAlignment="1">
      <alignment horizontal="center"/>
    </xf>
    <xf numFmtId="39" fontId="57" fillId="34" borderId="35" xfId="0" applyNumberFormat="1" applyFont="1" applyFill="1" applyBorder="1" applyAlignment="1">
      <alignment horizontal="center"/>
    </xf>
    <xf numFmtId="39" fontId="57" fillId="34" borderId="36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10" fontId="5" fillId="34" borderId="37" xfId="0" applyNumberFormat="1" applyFont="1" applyFill="1" applyBorder="1" applyAlignment="1">
      <alignment horizontal="center" vertical="top" wrapText="1"/>
    </xf>
    <xf numFmtId="10" fontId="5" fillId="34" borderId="38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39" fontId="57" fillId="34" borderId="37" xfId="0" applyNumberFormat="1" applyFont="1" applyFill="1" applyBorder="1" applyAlignment="1">
      <alignment horizontal="center"/>
    </xf>
    <xf numFmtId="39" fontId="57" fillId="34" borderId="38" xfId="0" applyNumberFormat="1" applyFont="1" applyFill="1" applyBorder="1" applyAlignment="1">
      <alignment horizontal="center"/>
    </xf>
    <xf numFmtId="39" fontId="5" fillId="34" borderId="37" xfId="53" applyNumberFormat="1" applyFont="1" applyFill="1" applyBorder="1" applyAlignment="1">
      <alignment horizontal="center"/>
      <protection/>
    </xf>
    <xf numFmtId="39" fontId="5" fillId="34" borderId="38" xfId="53" applyNumberFormat="1" applyFont="1" applyFill="1" applyBorder="1" applyAlignment="1">
      <alignment horizontal="center"/>
      <protection/>
    </xf>
    <xf numFmtId="173" fontId="58" fillId="0" borderId="10" xfId="0" applyNumberFormat="1" applyFont="1" applyBorder="1" applyAlignment="1">
      <alignment/>
    </xf>
    <xf numFmtId="173" fontId="58" fillId="0" borderId="12" xfId="0" applyNumberFormat="1" applyFont="1" applyBorder="1" applyAlignment="1">
      <alignment/>
    </xf>
    <xf numFmtId="10" fontId="5" fillId="34" borderId="37" xfId="53" applyNumberFormat="1" applyFont="1" applyFill="1" applyBorder="1" applyAlignment="1">
      <alignment horizontal="center" vertical="top" wrapText="1"/>
      <protection/>
    </xf>
    <xf numFmtId="10" fontId="5" fillId="34" borderId="38" xfId="53" applyNumberFormat="1" applyFont="1" applyFill="1" applyBorder="1" applyAlignment="1">
      <alignment horizontal="center" vertical="top" wrapText="1"/>
      <protection/>
    </xf>
    <xf numFmtId="9" fontId="58" fillId="0" borderId="10" xfId="55" applyFont="1" applyBorder="1" applyAlignment="1">
      <alignment/>
    </xf>
    <xf numFmtId="9" fontId="58" fillId="0" borderId="12" xfId="55" applyFont="1" applyBorder="1" applyAlignment="1">
      <alignment/>
    </xf>
    <xf numFmtId="10" fontId="5" fillId="34" borderId="39" xfId="53" applyNumberFormat="1" applyFont="1" applyFill="1" applyBorder="1" applyAlignment="1">
      <alignment horizontal="center" vertical="top" wrapText="1"/>
      <protection/>
    </xf>
    <xf numFmtId="10" fontId="5" fillId="34" borderId="40" xfId="53" applyNumberFormat="1" applyFont="1" applyFill="1" applyBorder="1" applyAlignment="1">
      <alignment horizontal="center" vertical="top" wrapText="1"/>
      <protection/>
    </xf>
    <xf numFmtId="10" fontId="58" fillId="0" borderId="27" xfId="0" applyNumberFormat="1" applyFont="1" applyBorder="1" applyAlignment="1">
      <alignment/>
    </xf>
    <xf numFmtId="10" fontId="58" fillId="0" borderId="32" xfId="0" applyNumberFormat="1" applyFont="1" applyBorder="1" applyAlignment="1">
      <alignment/>
    </xf>
    <xf numFmtId="39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73" fontId="0" fillId="36" borderId="0" xfId="0" applyNumberFormat="1" applyFill="1" applyAlignment="1">
      <alignment/>
    </xf>
    <xf numFmtId="0" fontId="59" fillId="33" borderId="41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 quotePrefix="1">
      <alignment horizontal="center" vertical="center" wrapText="1"/>
    </xf>
    <xf numFmtId="0" fontId="57" fillId="0" borderId="42" xfId="0" applyFont="1" applyFill="1" applyBorder="1" applyAlignment="1">
      <alignment horizontal="right" vertical="center"/>
    </xf>
    <xf numFmtId="0" fontId="60" fillId="0" borderId="43" xfId="0" applyFont="1" applyFill="1" applyBorder="1" applyAlignment="1" quotePrefix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57" fillId="33" borderId="42" xfId="0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57" fillId="35" borderId="42" xfId="0" applyFont="1" applyFill="1" applyBorder="1" applyAlignment="1">
      <alignment horizontal="right" vertical="center"/>
    </xf>
    <xf numFmtId="0" fontId="57" fillId="35" borderId="41" xfId="0" applyFont="1" applyFill="1" applyBorder="1" applyAlignment="1" quotePrefix="1">
      <alignment horizontal="center" vertical="center" wrapText="1"/>
    </xf>
    <xf numFmtId="0" fontId="57" fillId="35" borderId="10" xfId="0" applyFont="1" applyFill="1" applyBorder="1" applyAlignment="1">
      <alignment horizontal="justify" vertical="center" wrapText="1"/>
    </xf>
    <xf numFmtId="0" fontId="57" fillId="35" borderId="10" xfId="0" applyFont="1" applyFill="1" applyBorder="1" applyAlignment="1">
      <alignment horizontal="center" vertical="center" wrapText="1"/>
    </xf>
    <xf numFmtId="2" fontId="57" fillId="35" borderId="10" xfId="0" applyNumberFormat="1" applyFont="1" applyFill="1" applyBorder="1" applyAlignment="1">
      <alignment horizontal="center" vertical="center" wrapText="1"/>
    </xf>
    <xf numFmtId="169" fontId="59" fillId="0" borderId="10" xfId="47" applyFont="1" applyFill="1" applyBorder="1" applyAlignment="1">
      <alignment horizontal="right" vertical="center" wrapText="1"/>
    </xf>
    <xf numFmtId="0" fontId="57" fillId="35" borderId="10" xfId="0" applyFont="1" applyFill="1" applyBorder="1" applyAlignment="1">
      <alignment horizontal="left" vertical="center" wrapText="1"/>
    </xf>
    <xf numFmtId="169" fontId="57" fillId="0" borderId="0" xfId="47" applyFont="1" applyFill="1" applyBorder="1" applyAlignment="1">
      <alignment horizontal="right" vertical="center"/>
    </xf>
    <xf numFmtId="169" fontId="57" fillId="0" borderId="20" xfId="47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69" fontId="57" fillId="0" borderId="10" xfId="47" applyFont="1" applyFill="1" applyBorder="1" applyAlignment="1">
      <alignment horizontal="center" vertical="center"/>
    </xf>
    <xf numFmtId="169" fontId="57" fillId="35" borderId="10" xfId="47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 quotePrefix="1">
      <alignment horizontal="center" vertical="center" wrapText="1"/>
    </xf>
    <xf numFmtId="0" fontId="0" fillId="35" borderId="0" xfId="0" applyFill="1" applyAlignment="1">
      <alignment vertical="center"/>
    </xf>
    <xf numFmtId="169" fontId="57" fillId="35" borderId="0" xfId="47" applyFont="1" applyFill="1" applyBorder="1" applyAlignment="1">
      <alignment horizontal="center" vertical="center"/>
    </xf>
    <xf numFmtId="169" fontId="57" fillId="35" borderId="0" xfId="47" applyFont="1" applyFill="1" applyBorder="1" applyAlignment="1">
      <alignment horizontal="right" vertical="center"/>
    </xf>
    <xf numFmtId="0" fontId="57" fillId="37" borderId="42" xfId="0" applyFont="1" applyFill="1" applyBorder="1" applyAlignment="1">
      <alignment horizontal="right" vertical="center"/>
    </xf>
    <xf numFmtId="0" fontId="59" fillId="37" borderId="41" xfId="0" applyFont="1" applyFill="1" applyBorder="1" applyAlignment="1">
      <alignment horizontal="center" vertical="center" wrapText="1"/>
    </xf>
    <xf numFmtId="0" fontId="59" fillId="37" borderId="41" xfId="0" applyNumberFormat="1" applyFont="1" applyFill="1" applyBorder="1" applyAlignment="1" quotePrefix="1">
      <alignment horizontal="center" vertical="center" wrapText="1"/>
    </xf>
    <xf numFmtId="0" fontId="59" fillId="37" borderId="10" xfId="0" applyFont="1" applyFill="1" applyBorder="1" applyAlignment="1">
      <alignment horizontal="justify" vertical="center" wrapText="1"/>
    </xf>
    <xf numFmtId="0" fontId="57" fillId="37" borderId="10" xfId="0" applyFont="1" applyFill="1" applyBorder="1" applyAlignment="1">
      <alignment horizontal="center" vertical="center" wrapText="1"/>
    </xf>
    <xf numFmtId="2" fontId="57" fillId="37" borderId="10" xfId="0" applyNumberFormat="1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vertical="center"/>
    </xf>
    <xf numFmtId="2" fontId="57" fillId="0" borderId="0" xfId="0" applyNumberFormat="1" applyFont="1" applyFill="1" applyBorder="1" applyAlignment="1">
      <alignment horizontal="center" vertical="center" wrapText="1"/>
    </xf>
    <xf numFmtId="0" fontId="57" fillId="38" borderId="42" xfId="0" applyFont="1" applyFill="1" applyBorder="1" applyAlignment="1">
      <alignment horizontal="right" vertical="center"/>
    </xf>
    <xf numFmtId="0" fontId="59" fillId="38" borderId="41" xfId="0" applyFont="1" applyFill="1" applyBorder="1" applyAlignment="1">
      <alignment horizontal="center" vertical="center" wrapText="1"/>
    </xf>
    <xf numFmtId="0" fontId="59" fillId="38" borderId="41" xfId="0" applyNumberFormat="1" applyFont="1" applyFill="1" applyBorder="1" applyAlignment="1" quotePrefix="1">
      <alignment horizontal="center" vertical="center" wrapText="1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 vertical="center"/>
    </xf>
    <xf numFmtId="0" fontId="59" fillId="37" borderId="41" xfId="0" applyFont="1" applyFill="1" applyBorder="1" applyAlignment="1" quotePrefix="1">
      <alignment horizontal="center" vertical="center" wrapText="1"/>
    </xf>
    <xf numFmtId="0" fontId="59" fillId="33" borderId="41" xfId="0" applyNumberFormat="1" applyFont="1" applyFill="1" applyBorder="1" applyAlignment="1" quotePrefix="1">
      <alignment horizontal="center" vertical="center" wrapText="1"/>
    </xf>
    <xf numFmtId="169" fontId="59" fillId="35" borderId="38" xfId="47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left" vertical="justify" wrapText="1"/>
    </xf>
    <xf numFmtId="0" fontId="59" fillId="33" borderId="10" xfId="0" applyFont="1" applyFill="1" applyBorder="1" applyAlignment="1">
      <alignment horizontal="left" vertical="justify" wrapText="1"/>
    </xf>
    <xf numFmtId="169" fontId="59" fillId="35" borderId="10" xfId="47" applyFont="1" applyFill="1" applyBorder="1" applyAlignment="1">
      <alignment horizontal="right" vertical="center" wrapText="1"/>
    </xf>
    <xf numFmtId="0" fontId="59" fillId="38" borderId="10" xfId="0" applyFont="1" applyFill="1" applyBorder="1" applyAlignment="1">
      <alignment horizontal="left" vertical="justify" wrapText="1"/>
    </xf>
    <xf numFmtId="169" fontId="59" fillId="35" borderId="10" xfId="47" applyFont="1" applyFill="1" applyBorder="1" applyAlignment="1">
      <alignment horizontal="center" vertical="center"/>
    </xf>
    <xf numFmtId="0" fontId="57" fillId="35" borderId="41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0" fontId="57" fillId="0" borderId="41" xfId="0" applyNumberFormat="1" applyFont="1" applyFill="1" applyBorder="1" applyAlignment="1" quotePrefix="1">
      <alignment horizontal="center" vertical="center" wrapText="1"/>
    </xf>
    <xf numFmtId="0" fontId="57" fillId="35" borderId="41" xfId="0" applyNumberFormat="1" applyFont="1" applyFill="1" applyBorder="1" applyAlignment="1" quotePrefix="1">
      <alignment horizontal="center" vertical="center" wrapText="1"/>
    </xf>
    <xf numFmtId="0" fontId="57" fillId="35" borderId="41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/>
    </xf>
    <xf numFmtId="169" fontId="57" fillId="0" borderId="37" xfId="47" applyFont="1" applyFill="1" applyBorder="1" applyAlignment="1">
      <alignment horizontal="right" vertical="center" wrapText="1"/>
    </xf>
    <xf numFmtId="169" fontId="57" fillId="0" borderId="0" xfId="47" applyFont="1" applyFill="1" applyBorder="1" applyAlignment="1">
      <alignment horizontal="center" vertical="center"/>
    </xf>
    <xf numFmtId="169" fontId="11" fillId="0" borderId="37" xfId="47" applyFont="1" applyFill="1" applyBorder="1" applyAlignment="1">
      <alignment horizontal="right" vertical="center"/>
    </xf>
    <xf numFmtId="0" fontId="59" fillId="33" borderId="10" xfId="0" applyFont="1" applyFill="1" applyBorder="1" applyAlignment="1">
      <alignment horizontal="justify" vertical="center" wrapText="1"/>
    </xf>
    <xf numFmtId="169" fontId="57" fillId="33" borderId="37" xfId="47" applyFont="1" applyFill="1" applyBorder="1" applyAlignment="1">
      <alignment horizontal="right" vertical="center" wrapText="1"/>
    </xf>
    <xf numFmtId="169" fontId="57" fillId="33" borderId="10" xfId="47" applyFont="1" applyFill="1" applyBorder="1" applyAlignment="1">
      <alignment horizontal="center" vertical="center"/>
    </xf>
    <xf numFmtId="0" fontId="59" fillId="33" borderId="41" xfId="0" applyFont="1" applyFill="1" applyBorder="1" applyAlignment="1" quotePrefix="1">
      <alignment horizontal="center" vertical="center" wrapText="1"/>
    </xf>
    <xf numFmtId="169" fontId="59" fillId="33" borderId="37" xfId="47" applyFont="1" applyFill="1" applyBorder="1" applyAlignment="1">
      <alignment horizontal="left" vertical="justify" wrapText="1"/>
    </xf>
    <xf numFmtId="169" fontId="59" fillId="33" borderId="10" xfId="47" applyFont="1" applyFill="1" applyBorder="1" applyAlignment="1">
      <alignment horizontal="left" vertical="justify" wrapText="1"/>
    </xf>
    <xf numFmtId="169" fontId="57" fillId="35" borderId="37" xfId="47" applyFont="1" applyFill="1" applyBorder="1" applyAlignment="1">
      <alignment horizontal="right" vertical="center" wrapText="1"/>
    </xf>
    <xf numFmtId="169" fontId="57" fillId="0" borderId="37" xfId="47" applyFont="1" applyFill="1" applyBorder="1" applyAlignment="1">
      <alignment horizontal="center" vertical="center"/>
    </xf>
    <xf numFmtId="169" fontId="57" fillId="35" borderId="37" xfId="47" applyFont="1" applyFill="1" applyBorder="1" applyAlignment="1">
      <alignment horizontal="center" vertical="center"/>
    </xf>
    <xf numFmtId="169" fontId="57" fillId="0" borderId="0" xfId="47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justify" wrapText="1"/>
    </xf>
    <xf numFmtId="0" fontId="60" fillId="35" borderId="38" xfId="0" applyFont="1" applyFill="1" applyBorder="1" applyAlignment="1" quotePrefix="1">
      <alignment horizontal="right" vertical="center" wrapText="1"/>
    </xf>
    <xf numFmtId="169" fontId="57" fillId="33" borderId="37" xfId="47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0" fillId="0" borderId="10" xfId="0" applyFont="1" applyFill="1" applyBorder="1" applyAlignment="1" quotePrefix="1">
      <alignment horizontal="right" vertical="center" wrapText="1"/>
    </xf>
    <xf numFmtId="0" fontId="0" fillId="0" borderId="10" xfId="0" applyFill="1" applyBorder="1" applyAlignment="1" quotePrefix="1">
      <alignment horizontal="right" vertical="center" wrapText="1"/>
    </xf>
    <xf numFmtId="0" fontId="59" fillId="33" borderId="38" xfId="0" applyFont="1" applyFill="1" applyBorder="1" applyAlignment="1">
      <alignment vertical="center" wrapText="1"/>
    </xf>
    <xf numFmtId="0" fontId="60" fillId="0" borderId="38" xfId="0" applyFont="1" applyFill="1" applyBorder="1" applyAlignment="1" quotePrefix="1">
      <alignment horizontal="center" vertical="center" wrapText="1"/>
    </xf>
    <xf numFmtId="0" fontId="59" fillId="37" borderId="37" xfId="0" applyFont="1" applyFill="1" applyBorder="1" applyAlignment="1">
      <alignment horizontal="left" vertical="justify" wrapText="1"/>
    </xf>
    <xf numFmtId="0" fontId="57" fillId="35" borderId="10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justify" vertical="center" wrapText="1"/>
    </xf>
    <xf numFmtId="0" fontId="11" fillId="35" borderId="10" xfId="51" applyNumberFormat="1" applyFont="1" applyFill="1" applyBorder="1" applyAlignment="1">
      <alignment horizontal="justify" vertical="center" wrapText="1"/>
      <protection/>
    </xf>
    <xf numFmtId="0" fontId="11" fillId="35" borderId="10" xfId="51" applyFont="1" applyFill="1" applyBorder="1" applyAlignment="1">
      <alignment horizontal="center" vertical="center"/>
      <protection/>
    </xf>
    <xf numFmtId="44" fontId="59" fillId="35" borderId="10" xfId="47" applyNumberFormat="1" applyFont="1" applyFill="1" applyBorder="1" applyAlignment="1">
      <alignment horizontal="right" vertical="center" wrapText="1"/>
    </xf>
    <xf numFmtId="0" fontId="59" fillId="37" borderId="10" xfId="0" applyFont="1" applyFill="1" applyBorder="1" applyAlignment="1">
      <alignment vertical="center" wrapText="1"/>
    </xf>
    <xf numFmtId="0" fontId="57" fillId="37" borderId="45" xfId="0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7" fillId="37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7" fillId="38" borderId="41" xfId="0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 wrapText="1"/>
    </xf>
    <xf numFmtId="0" fontId="57" fillId="0" borderId="10" xfId="0" applyFont="1" applyFill="1" applyBorder="1" applyAlignment="1" quotePrefix="1">
      <alignment horizontal="center" vertical="center" wrapText="1"/>
    </xf>
    <xf numFmtId="43" fontId="57" fillId="35" borderId="10" xfId="69" applyFont="1" applyFill="1" applyBorder="1" applyAlignment="1">
      <alignment horizontal="center" vertical="center" wrapText="1"/>
    </xf>
    <xf numFmtId="0" fontId="60" fillId="0" borderId="0" xfId="0" applyFont="1" applyFill="1" applyBorder="1" applyAlignment="1" quotePrefix="1">
      <alignment horizontal="center" vertical="center" wrapText="1"/>
    </xf>
    <xf numFmtId="0" fontId="57" fillId="35" borderId="0" xfId="0" applyFont="1" applyFill="1" applyBorder="1" applyAlignment="1">
      <alignment vertical="center"/>
    </xf>
    <xf numFmtId="169" fontId="61" fillId="35" borderId="46" xfId="47" applyFont="1" applyFill="1" applyBorder="1" applyAlignment="1">
      <alignment horizontal="right" vertical="center" wrapText="1"/>
    </xf>
    <xf numFmtId="0" fontId="57" fillId="0" borderId="19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169" fontId="59" fillId="35" borderId="41" xfId="47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0" fillId="0" borderId="28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10" fillId="35" borderId="0" xfId="53" applyFont="1" applyFill="1" applyBorder="1" applyAlignment="1">
      <alignment horizontal="center"/>
      <protection/>
    </xf>
    <xf numFmtId="0" fontId="59" fillId="35" borderId="0" xfId="0" applyFont="1" applyFill="1" applyBorder="1" applyAlignment="1">
      <alignment horizontal="center" vertical="center" wrapText="1"/>
    </xf>
    <xf numFmtId="2" fontId="59" fillId="35" borderId="0" xfId="0" applyNumberFormat="1" applyFont="1" applyFill="1" applyBorder="1" applyAlignment="1">
      <alignment horizontal="center" vertical="center" wrapText="1"/>
    </xf>
    <xf numFmtId="169" fontId="59" fillId="35" borderId="0" xfId="47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horizontal="center" vertical="center"/>
    </xf>
    <xf numFmtId="0" fontId="60" fillId="35" borderId="38" xfId="0" applyFont="1" applyFill="1" applyBorder="1" applyAlignment="1" quotePrefix="1">
      <alignment horizontal="right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/>
      <protection/>
    </xf>
    <xf numFmtId="0" fontId="60" fillId="0" borderId="20" xfId="0" applyNumberFormat="1" applyFont="1" applyFill="1" applyBorder="1" applyAlignment="1">
      <alignment wrapText="1"/>
    </xf>
    <xf numFmtId="0" fontId="60" fillId="0" borderId="0" xfId="0" applyNumberFormat="1" applyFont="1" applyFill="1" applyBorder="1" applyAlignment="1">
      <alignment wrapText="1"/>
    </xf>
    <xf numFmtId="169" fontId="62" fillId="0" borderId="0" xfId="47" applyFont="1" applyFill="1" applyBorder="1" applyAlignment="1">
      <alignment horizontal="center" vertical="center" wrapText="1"/>
    </xf>
    <xf numFmtId="169" fontId="57" fillId="0" borderId="0" xfId="47" applyFont="1" applyFill="1" applyBorder="1" applyAlignment="1">
      <alignment horizontal="right" vertical="center" wrapText="1"/>
    </xf>
    <xf numFmtId="169" fontId="59" fillId="0" borderId="0" xfId="47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right" vertical="center" wrapText="1"/>
    </xf>
    <xf numFmtId="43" fontId="57" fillId="0" borderId="0" xfId="69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 vertical="center"/>
    </xf>
    <xf numFmtId="0" fontId="57" fillId="37" borderId="47" xfId="0" applyFont="1" applyFill="1" applyBorder="1" applyAlignment="1">
      <alignment horizontal="center" vertical="center"/>
    </xf>
    <xf numFmtId="0" fontId="59" fillId="37" borderId="47" xfId="0" applyNumberFormat="1" applyFont="1" applyFill="1" applyBorder="1" applyAlignment="1" quotePrefix="1">
      <alignment horizontal="center" vertical="center" wrapText="1"/>
    </xf>
    <xf numFmtId="0" fontId="59" fillId="37" borderId="48" xfId="0" applyFont="1" applyFill="1" applyBorder="1" applyAlignment="1">
      <alignment horizontal="left" vertical="justify" wrapText="1"/>
    </xf>
    <xf numFmtId="0" fontId="60" fillId="35" borderId="38" xfId="0" applyFont="1" applyFill="1" applyBorder="1" applyAlignment="1" quotePrefix="1">
      <alignment horizontal="right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right" vertical="center"/>
    </xf>
    <xf numFmtId="0" fontId="57" fillId="37" borderId="10" xfId="0" applyFont="1" applyFill="1" applyBorder="1" applyAlignment="1">
      <alignment horizontal="center" vertical="center"/>
    </xf>
    <xf numFmtId="0" fontId="59" fillId="37" borderId="10" xfId="0" applyNumberFormat="1" applyFont="1" applyFill="1" applyBorder="1" applyAlignment="1" quotePrefix="1">
      <alignment horizontal="center" vertical="center" wrapText="1"/>
    </xf>
    <xf numFmtId="0" fontId="59" fillId="37" borderId="10" xfId="0" applyFont="1" applyFill="1" applyBorder="1" applyAlignment="1" quotePrefix="1">
      <alignment horizontal="center" vertical="center" wrapText="1"/>
    </xf>
    <xf numFmtId="0" fontId="57" fillId="0" borderId="10" xfId="0" applyFont="1" applyFill="1" applyBorder="1" applyAlignment="1">
      <alignment horizontal="right" vertical="center"/>
    </xf>
    <xf numFmtId="0" fontId="57" fillId="0" borderId="17" xfId="0" applyFont="1" applyFill="1" applyBorder="1" applyAlignment="1">
      <alignment horizontal="center" vertical="center"/>
    </xf>
    <xf numFmtId="0" fontId="12" fillId="35" borderId="0" xfId="53" applyNumberFormat="1" applyFont="1" applyFill="1" applyBorder="1" applyAlignment="1">
      <alignment horizontal="left" vertical="top"/>
      <protection/>
    </xf>
    <xf numFmtId="0" fontId="60" fillId="35" borderId="0" xfId="47" applyNumberFormat="1" applyFont="1" applyFill="1" applyBorder="1" applyAlignment="1">
      <alignment horizontal="left" vertical="top" wrapText="1"/>
    </xf>
    <xf numFmtId="0" fontId="0" fillId="37" borderId="10" xfId="47" applyNumberFormat="1" applyFont="1" applyFill="1" applyBorder="1" applyAlignment="1">
      <alignment horizontal="left" vertical="top" wrapText="1"/>
    </xf>
    <xf numFmtId="0" fontId="60" fillId="33" borderId="38" xfId="0" applyNumberFormat="1" applyFont="1" applyFill="1" applyBorder="1" applyAlignment="1">
      <alignment horizontal="left" vertical="top" wrapText="1"/>
    </xf>
    <xf numFmtId="0" fontId="60" fillId="35" borderId="38" xfId="0" applyNumberFormat="1" applyFont="1" applyFill="1" applyBorder="1" applyAlignment="1" quotePrefix="1">
      <alignment horizontal="left" vertical="top" wrapText="1"/>
    </xf>
    <xf numFmtId="0" fontId="0" fillId="0" borderId="0" xfId="47" applyNumberFormat="1" applyFont="1" applyFill="1" applyBorder="1" applyAlignment="1">
      <alignment horizontal="left" vertical="top"/>
    </xf>
    <xf numFmtId="0" fontId="60" fillId="38" borderId="49" xfId="47" applyNumberFormat="1" applyFont="1" applyFill="1" applyBorder="1" applyAlignment="1">
      <alignment horizontal="center" vertical="top" wrapText="1"/>
    </xf>
    <xf numFmtId="0" fontId="60" fillId="38" borderId="49" xfId="0" applyFont="1" applyFill="1" applyBorder="1" applyAlignment="1">
      <alignment horizontal="center" vertical="center" wrapText="1"/>
    </xf>
    <xf numFmtId="2" fontId="60" fillId="38" borderId="49" xfId="0" applyNumberFormat="1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top" wrapText="1"/>
    </xf>
    <xf numFmtId="169" fontId="57" fillId="0" borderId="0" xfId="47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justify" vertical="center" wrapText="1"/>
    </xf>
    <xf numFmtId="169" fontId="57" fillId="0" borderId="0" xfId="47" applyFont="1" applyFill="1" applyBorder="1" applyAlignment="1">
      <alignment horizontal="left" vertical="center" wrapText="1"/>
    </xf>
    <xf numFmtId="0" fontId="57" fillId="0" borderId="4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 quotePrefix="1">
      <alignment horizontal="center" vertical="center" wrapText="1"/>
    </xf>
    <xf numFmtId="0" fontId="57" fillId="0" borderId="37" xfId="0" applyFont="1" applyFill="1" applyBorder="1" applyAlignment="1">
      <alignment horizontal="justify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justify" vertical="center"/>
    </xf>
    <xf numFmtId="169" fontId="59" fillId="0" borderId="0" xfId="47" applyFont="1" applyFill="1" applyBorder="1" applyAlignment="1">
      <alignment horizontal="center" vertical="center"/>
    </xf>
    <xf numFmtId="2" fontId="57" fillId="0" borderId="38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 vertical="center"/>
    </xf>
    <xf numFmtId="0" fontId="0" fillId="40" borderId="0" xfId="0" applyFill="1" applyAlignment="1">
      <alignment/>
    </xf>
    <xf numFmtId="0" fontId="16" fillId="40" borderId="0" xfId="0" applyFont="1" applyFill="1" applyAlignment="1">
      <alignment vertical="center"/>
    </xf>
    <xf numFmtId="0" fontId="16" fillId="40" borderId="0" xfId="0" applyFont="1" applyFill="1" applyAlignment="1">
      <alignment/>
    </xf>
    <xf numFmtId="0" fontId="0" fillId="0" borderId="0" xfId="0" applyFill="1" applyBorder="1" applyAlignment="1" quotePrefix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/>
    </xf>
    <xf numFmtId="0" fontId="0" fillId="18" borderId="0" xfId="0" applyFill="1" applyAlignment="1">
      <alignment vertical="center"/>
    </xf>
    <xf numFmtId="169" fontId="59" fillId="0" borderId="0" xfId="47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69" fontId="11" fillId="0" borderId="0" xfId="47" applyFont="1" applyFill="1" applyBorder="1" applyAlignment="1">
      <alignment horizontal="right" vertical="center" wrapText="1"/>
    </xf>
    <xf numFmtId="169" fontId="11" fillId="0" borderId="0" xfId="47" applyFont="1" applyFill="1" applyBorder="1" applyAlignment="1">
      <alignment horizontal="center" vertical="center"/>
    </xf>
    <xf numFmtId="169" fontId="11" fillId="0" borderId="0" xfId="47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47" applyNumberFormat="1" applyFont="1" applyFill="1" applyBorder="1" applyAlignment="1">
      <alignment horizontal="left" vertical="top" wrapText="1"/>
    </xf>
    <xf numFmtId="0" fontId="1" fillId="0" borderId="10" xfId="47" applyNumberFormat="1" applyFont="1" applyFill="1" applyBorder="1" applyAlignment="1">
      <alignment horizontal="left" vertical="top" wrapText="1"/>
    </xf>
    <xf numFmtId="0" fontId="57" fillId="0" borderId="42" xfId="0" applyFont="1" applyFill="1" applyBorder="1" applyAlignment="1" quotePrefix="1">
      <alignment horizontal="center" vertical="center" wrapText="1"/>
    </xf>
    <xf numFmtId="0" fontId="11" fillId="0" borderId="10" xfId="51" applyNumberFormat="1" applyFont="1" applyFill="1" applyBorder="1" applyAlignment="1">
      <alignment horizontal="justify" vertical="center" wrapText="1"/>
      <protection/>
    </xf>
    <xf numFmtId="0" fontId="11" fillId="0" borderId="10" xfId="51" applyFont="1" applyFill="1" applyBorder="1" applyAlignment="1">
      <alignment horizontal="center" vertical="center"/>
      <protection/>
    </xf>
    <xf numFmtId="0" fontId="57" fillId="0" borderId="37" xfId="0" applyFont="1" applyFill="1" applyBorder="1" applyAlignment="1">
      <alignment horizontal="left" vertical="center" wrapText="1"/>
    </xf>
    <xf numFmtId="0" fontId="57" fillId="0" borderId="41" xfId="69" applyNumberFormat="1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47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1" fillId="0" borderId="41" xfId="0" applyFont="1" applyFill="1" applyBorder="1" applyAlignment="1">
      <alignment horizontal="center" vertical="center"/>
    </xf>
    <xf numFmtId="0" fontId="0" fillId="35" borderId="10" xfId="47" applyNumberFormat="1" applyFont="1" applyFill="1" applyBorder="1" applyAlignment="1">
      <alignment horizontal="left" vertical="top" wrapText="1"/>
    </xf>
    <xf numFmtId="0" fontId="16" fillId="0" borderId="10" xfId="47" applyNumberFormat="1" applyFont="1" applyFill="1" applyBorder="1" applyAlignment="1">
      <alignment horizontal="left" vertical="top"/>
    </xf>
    <xf numFmtId="0" fontId="0" fillId="33" borderId="10" xfId="47" applyNumberFormat="1" applyFont="1" applyFill="1" applyBorder="1" applyAlignment="1">
      <alignment horizontal="left" vertical="top" wrapText="1"/>
    </xf>
    <xf numFmtId="0" fontId="60" fillId="33" borderId="10" xfId="47" applyNumberFormat="1" applyFont="1" applyFill="1" applyBorder="1" applyAlignment="1">
      <alignment horizontal="left" vertical="top" wrapText="1"/>
    </xf>
    <xf numFmtId="0" fontId="57" fillId="0" borderId="17" xfId="0" applyFont="1" applyFill="1" applyBorder="1" applyAlignment="1" quotePrefix="1">
      <alignment horizontal="center" vertical="center" wrapText="1"/>
    </xf>
    <xf numFmtId="169" fontId="57" fillId="0" borderId="10" xfId="47" applyFont="1" applyFill="1" applyBorder="1" applyAlignment="1">
      <alignment horizontal="right" vertical="center" wrapText="1"/>
    </xf>
    <xf numFmtId="169" fontId="57" fillId="0" borderId="38" xfId="47" applyFont="1" applyFill="1" applyBorder="1" applyAlignment="1">
      <alignment horizontal="right" vertical="center" wrapText="1"/>
    </xf>
    <xf numFmtId="44" fontId="59" fillId="0" borderId="0" xfId="47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 quotePrefix="1">
      <alignment horizontal="right" vertical="center" wrapText="1"/>
    </xf>
    <xf numFmtId="169" fontId="57" fillId="0" borderId="10" xfId="47" applyFont="1" applyFill="1" applyBorder="1" applyAlignment="1">
      <alignment horizontal="right" vertical="center"/>
    </xf>
    <xf numFmtId="169" fontId="57" fillId="0" borderId="38" xfId="47" applyFont="1" applyFill="1" applyBorder="1" applyAlignment="1">
      <alignment horizontal="center" vertical="center"/>
    </xf>
    <xf numFmtId="169" fontId="11" fillId="0" borderId="37" xfId="47" applyFont="1" applyFill="1" applyBorder="1" applyAlignment="1">
      <alignment horizontal="right" vertical="center" wrapText="1"/>
    </xf>
    <xf numFmtId="169" fontId="11" fillId="0" borderId="10" xfId="47" applyFont="1" applyFill="1" applyBorder="1" applyAlignment="1">
      <alignment horizontal="center" vertical="center"/>
    </xf>
    <xf numFmtId="169" fontId="57" fillId="0" borderId="37" xfId="47" applyFont="1" applyFill="1" applyBorder="1" applyAlignment="1">
      <alignment horizontal="center" vertical="center" wrapText="1"/>
    </xf>
    <xf numFmtId="169" fontId="57" fillId="0" borderId="10" xfId="47" applyFont="1" applyFill="1" applyBorder="1" applyAlignment="1">
      <alignment horizontal="center" vertical="center" wrapText="1"/>
    </xf>
    <xf numFmtId="169" fontId="57" fillId="35" borderId="10" xfId="47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57" fillId="41" borderId="50" xfId="0" applyFont="1" applyFill="1" applyBorder="1" applyAlignment="1">
      <alignment horizontal="right" vertical="center"/>
    </xf>
    <xf numFmtId="0" fontId="57" fillId="41" borderId="51" xfId="0" applyFont="1" applyFill="1" applyBorder="1" applyAlignment="1">
      <alignment horizontal="center" vertical="center"/>
    </xf>
    <xf numFmtId="0" fontId="59" fillId="41" borderId="51" xfId="0" applyFont="1" applyFill="1" applyBorder="1" applyAlignment="1">
      <alignment horizontal="center" vertical="center" wrapText="1"/>
    </xf>
    <xf numFmtId="0" fontId="57" fillId="38" borderId="45" xfId="0" applyFont="1" applyFill="1" applyBorder="1" applyAlignment="1">
      <alignment horizontal="right" vertical="center"/>
    </xf>
    <xf numFmtId="0" fontId="57" fillId="38" borderId="48" xfId="0" applyFont="1" applyFill="1" applyBorder="1" applyAlignment="1">
      <alignment horizontal="center" vertical="center"/>
    </xf>
    <xf numFmtId="0" fontId="59" fillId="38" borderId="48" xfId="0" applyFont="1" applyFill="1" applyBorder="1" applyAlignment="1">
      <alignment horizontal="center" vertical="center" wrapText="1"/>
    </xf>
    <xf numFmtId="0" fontId="57" fillId="42" borderId="50" xfId="0" applyFont="1" applyFill="1" applyBorder="1" applyAlignment="1">
      <alignment horizontal="right" vertical="center"/>
    </xf>
    <xf numFmtId="0" fontId="57" fillId="42" borderId="52" xfId="0" applyFont="1" applyFill="1" applyBorder="1" applyAlignment="1">
      <alignment horizontal="center" vertical="center"/>
    </xf>
    <xf numFmtId="0" fontId="59" fillId="42" borderId="52" xfId="0" applyFont="1" applyFill="1" applyBorder="1" applyAlignment="1">
      <alignment horizontal="center" vertical="center" wrapText="1"/>
    </xf>
    <xf numFmtId="0" fontId="59" fillId="37" borderId="47" xfId="0" applyFont="1" applyFill="1" applyBorder="1" applyAlignment="1">
      <alignment horizontal="center" vertical="center" wrapText="1"/>
    </xf>
    <xf numFmtId="0" fontId="57" fillId="37" borderId="48" xfId="0" applyFont="1" applyFill="1" applyBorder="1" applyAlignment="1">
      <alignment horizontal="center" vertical="center"/>
    </xf>
    <xf numFmtId="0" fontId="59" fillId="37" borderId="48" xfId="0" applyNumberFormat="1" applyFont="1" applyFill="1" applyBorder="1" applyAlignment="1" quotePrefix="1">
      <alignment horizontal="center" vertical="center" wrapText="1"/>
    </xf>
    <xf numFmtId="0" fontId="57" fillId="33" borderId="45" xfId="0" applyFont="1" applyFill="1" applyBorder="1" applyAlignment="1">
      <alignment horizontal="right" vertical="center"/>
    </xf>
    <xf numFmtId="0" fontId="57" fillId="33" borderId="47" xfId="0" applyFont="1" applyFill="1" applyBorder="1" applyAlignment="1">
      <alignment horizontal="center" vertical="center"/>
    </xf>
    <xf numFmtId="0" fontId="59" fillId="33" borderId="47" xfId="0" applyFont="1" applyFill="1" applyBorder="1" applyAlignment="1">
      <alignment horizontal="center" vertical="center" wrapText="1"/>
    </xf>
    <xf numFmtId="0" fontId="59" fillId="42" borderId="53" xfId="0" applyFont="1" applyFill="1" applyBorder="1" applyAlignment="1">
      <alignment horizontal="center" vertical="center" wrapText="1"/>
    </xf>
    <xf numFmtId="0" fontId="57" fillId="42" borderId="54" xfId="0" applyFont="1" applyFill="1" applyBorder="1" applyAlignment="1">
      <alignment horizontal="right" vertical="center"/>
    </xf>
    <xf numFmtId="0" fontId="57" fillId="42" borderId="54" xfId="0" applyFont="1" applyFill="1" applyBorder="1" applyAlignment="1">
      <alignment horizontal="center" vertical="center"/>
    </xf>
    <xf numFmtId="0" fontId="59" fillId="42" borderId="46" xfId="0" applyFont="1" applyFill="1" applyBorder="1" applyAlignment="1">
      <alignment horizontal="center" vertical="center" wrapText="1"/>
    </xf>
    <xf numFmtId="0" fontId="63" fillId="38" borderId="49" xfId="0" applyFont="1" applyFill="1" applyBorder="1" applyAlignment="1">
      <alignment horizontal="center" vertical="center" wrapText="1"/>
    </xf>
    <xf numFmtId="2" fontId="63" fillId="38" borderId="49" xfId="0" applyNumberFormat="1" applyFont="1" applyFill="1" applyBorder="1" applyAlignment="1">
      <alignment horizontal="center" vertical="center" wrapText="1"/>
    </xf>
    <xf numFmtId="169" fontId="63" fillId="38" borderId="55" xfId="47" applyFont="1" applyFill="1" applyBorder="1" applyAlignment="1">
      <alignment horizontal="center" vertical="center" wrapText="1"/>
    </xf>
    <xf numFmtId="169" fontId="63" fillId="38" borderId="56" xfId="47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0" fontId="59" fillId="37" borderId="0" xfId="0" applyFont="1" applyFill="1" applyBorder="1" applyAlignment="1">
      <alignment horizontal="center" vertical="center" wrapText="1"/>
    </xf>
    <xf numFmtId="0" fontId="57" fillId="0" borderId="57" xfId="0" applyFont="1" applyFill="1" applyBorder="1" applyAlignment="1">
      <alignment horizontal="justify" vertical="center" wrapText="1"/>
    </xf>
    <xf numFmtId="0" fontId="57" fillId="0" borderId="57" xfId="0" applyFont="1" applyFill="1" applyBorder="1" applyAlignment="1">
      <alignment horizontal="center" vertical="center" wrapText="1"/>
    </xf>
    <xf numFmtId="2" fontId="57" fillId="0" borderId="57" xfId="0" applyNumberFormat="1" applyFont="1" applyFill="1" applyBorder="1" applyAlignment="1">
      <alignment horizontal="center" vertical="center" wrapText="1"/>
    </xf>
    <xf numFmtId="169" fontId="57" fillId="0" borderId="58" xfId="47" applyFont="1" applyFill="1" applyBorder="1" applyAlignment="1">
      <alignment horizontal="right" vertical="center" wrapText="1"/>
    </xf>
    <xf numFmtId="169" fontId="57" fillId="0" borderId="48" xfId="47" applyFont="1" applyFill="1" applyBorder="1" applyAlignment="1">
      <alignment horizontal="right" vertical="center" wrapText="1"/>
    </xf>
    <xf numFmtId="169" fontId="57" fillId="0" borderId="59" xfId="47" applyFont="1" applyFill="1" applyBorder="1" applyAlignment="1">
      <alignment horizontal="center" vertical="center"/>
    </xf>
    <xf numFmtId="169" fontId="57" fillId="0" borderId="48" xfId="47" applyFont="1" applyFill="1" applyBorder="1" applyAlignment="1">
      <alignment horizontal="center" vertical="center"/>
    </xf>
    <xf numFmtId="0" fontId="59" fillId="37" borderId="48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9" fontId="57" fillId="34" borderId="10" xfId="47" applyFont="1" applyFill="1" applyBorder="1" applyAlignment="1">
      <alignment horizontal="center"/>
    </xf>
    <xf numFmtId="169" fontId="57" fillId="0" borderId="10" xfId="47" applyFont="1" applyFill="1" applyBorder="1" applyAlignment="1">
      <alignment horizontal="center" vertical="center"/>
    </xf>
    <xf numFmtId="0" fontId="0" fillId="0" borderId="10" xfId="47" applyNumberFormat="1" applyFont="1" applyFill="1" applyBorder="1" applyAlignment="1">
      <alignment horizontal="left" vertical="top" wrapText="1"/>
    </xf>
    <xf numFmtId="0" fontId="59" fillId="37" borderId="37" xfId="0" applyFont="1" applyFill="1" applyBorder="1" applyAlignment="1">
      <alignment horizontal="left" vertical="justify" wrapText="1"/>
    </xf>
    <xf numFmtId="0" fontId="59" fillId="37" borderId="38" xfId="0" applyFont="1" applyFill="1" applyBorder="1" applyAlignment="1">
      <alignment horizontal="left" vertical="justify" wrapText="1"/>
    </xf>
    <xf numFmtId="0" fontId="60" fillId="0" borderId="37" xfId="0" applyFont="1" applyFill="1" applyBorder="1" applyAlignment="1">
      <alignment horizontal="right" vertical="center" wrapText="1"/>
    </xf>
    <xf numFmtId="0" fontId="60" fillId="0" borderId="38" xfId="0" applyFont="1" applyFill="1" applyBorder="1" applyAlignment="1">
      <alignment horizontal="right" vertical="center" wrapText="1"/>
    </xf>
    <xf numFmtId="0" fontId="60" fillId="0" borderId="41" xfId="0" applyFont="1" applyFill="1" applyBorder="1" applyAlignment="1">
      <alignment horizontal="right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left" vertical="justify" wrapText="1"/>
    </xf>
    <xf numFmtId="0" fontId="59" fillId="33" borderId="38" xfId="0" applyFont="1" applyFill="1" applyBorder="1" applyAlignment="1">
      <alignment horizontal="left" vertical="justify" wrapText="1"/>
    </xf>
    <xf numFmtId="0" fontId="60" fillId="35" borderId="37" xfId="0" applyFont="1" applyFill="1" applyBorder="1" applyAlignment="1">
      <alignment horizontal="right" vertical="center" wrapText="1"/>
    </xf>
    <xf numFmtId="0" fontId="60" fillId="35" borderId="38" xfId="0" applyFont="1" applyFill="1" applyBorder="1" applyAlignment="1">
      <alignment horizontal="right" vertical="center" wrapText="1"/>
    </xf>
    <xf numFmtId="0" fontId="60" fillId="35" borderId="41" xfId="0" applyFont="1" applyFill="1" applyBorder="1" applyAlignment="1">
      <alignment horizontal="right" vertical="center" wrapText="1"/>
    </xf>
    <xf numFmtId="0" fontId="59" fillId="42" borderId="52" xfId="0" applyFont="1" applyFill="1" applyBorder="1" applyAlignment="1">
      <alignment horizontal="left" vertical="justify" wrapText="1"/>
    </xf>
    <xf numFmtId="0" fontId="59" fillId="42" borderId="56" xfId="0" applyFont="1" applyFill="1" applyBorder="1" applyAlignment="1">
      <alignment horizontal="left" vertical="justify" wrapText="1"/>
    </xf>
    <xf numFmtId="0" fontId="60" fillId="35" borderId="38" xfId="0" applyFont="1" applyFill="1" applyBorder="1" applyAlignment="1" quotePrefix="1">
      <alignment horizontal="right" vertical="center" wrapText="1"/>
    </xf>
    <xf numFmtId="0" fontId="60" fillId="35" borderId="41" xfId="0" applyFont="1" applyFill="1" applyBorder="1" applyAlignment="1" quotePrefix="1">
      <alignment horizontal="right" vertical="center" wrapText="1"/>
    </xf>
    <xf numFmtId="0" fontId="0" fillId="0" borderId="41" xfId="0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37" xfId="0" applyFill="1" applyBorder="1" applyAlignment="1" quotePrefix="1">
      <alignment horizontal="center" vertical="center" wrapText="1"/>
    </xf>
    <xf numFmtId="0" fontId="61" fillId="33" borderId="60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61" xfId="0" applyFont="1" applyFill="1" applyBorder="1" applyAlignment="1">
      <alignment horizontal="center" vertical="center" wrapText="1"/>
    </xf>
    <xf numFmtId="169" fontId="57" fillId="0" borderId="10" xfId="47" applyFont="1" applyFill="1" applyBorder="1" applyAlignment="1">
      <alignment horizontal="center" vertical="center"/>
    </xf>
    <xf numFmtId="0" fontId="63" fillId="35" borderId="60" xfId="0" applyFont="1" applyFill="1" applyBorder="1" applyAlignment="1">
      <alignment horizontal="center" wrapText="1"/>
    </xf>
    <xf numFmtId="0" fontId="63" fillId="35" borderId="28" xfId="0" applyFont="1" applyFill="1" applyBorder="1" applyAlignment="1">
      <alignment horizontal="center" wrapText="1"/>
    </xf>
    <xf numFmtId="0" fontId="63" fillId="35" borderId="61" xfId="0" applyFont="1" applyFill="1" applyBorder="1" applyAlignment="1">
      <alignment horizontal="center" wrapText="1"/>
    </xf>
    <xf numFmtId="0" fontId="63" fillId="35" borderId="19" xfId="0" applyFont="1" applyFill="1" applyBorder="1" applyAlignment="1">
      <alignment horizontal="center" wrapText="1"/>
    </xf>
    <xf numFmtId="0" fontId="63" fillId="35" borderId="0" xfId="0" applyFont="1" applyFill="1" applyBorder="1" applyAlignment="1">
      <alignment horizontal="center" wrapText="1"/>
    </xf>
    <xf numFmtId="0" fontId="63" fillId="35" borderId="62" xfId="0" applyFont="1" applyFill="1" applyBorder="1" applyAlignment="1">
      <alignment horizontal="center" wrapText="1"/>
    </xf>
    <xf numFmtId="0" fontId="62" fillId="35" borderId="23" xfId="0" applyFont="1" applyFill="1" applyBorder="1" applyAlignment="1">
      <alignment horizontal="center"/>
    </xf>
    <xf numFmtId="0" fontId="62" fillId="35" borderId="24" xfId="0" applyFont="1" applyFill="1" applyBorder="1" applyAlignment="1">
      <alignment horizontal="center"/>
    </xf>
    <xf numFmtId="0" fontId="62" fillId="35" borderId="63" xfId="0" applyFont="1" applyFill="1" applyBorder="1" applyAlignment="1">
      <alignment horizontal="center"/>
    </xf>
    <xf numFmtId="0" fontId="59" fillId="42" borderId="55" xfId="0" applyFont="1" applyFill="1" applyBorder="1" applyAlignment="1">
      <alignment horizontal="left" vertical="justify" wrapText="1"/>
    </xf>
    <xf numFmtId="0" fontId="59" fillId="42" borderId="54" xfId="0" applyFont="1" applyFill="1" applyBorder="1" applyAlignment="1">
      <alignment horizontal="left" vertical="justify" wrapText="1"/>
    </xf>
    <xf numFmtId="0" fontId="9" fillId="0" borderId="64" xfId="53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61" xfId="53" applyFont="1" applyFill="1" applyBorder="1" applyAlignment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62" xfId="53" applyFont="1" applyFill="1" applyBorder="1" applyAlignment="1">
      <alignment horizontal="center" vertical="center"/>
      <protection/>
    </xf>
    <xf numFmtId="0" fontId="6" fillId="0" borderId="60" xfId="53" applyFont="1" applyFill="1" applyBorder="1" applyAlignment="1">
      <alignment horizontal="left" vertical="center" wrapText="1"/>
      <protection/>
    </xf>
    <xf numFmtId="0" fontId="6" fillId="0" borderId="28" xfId="53" applyFont="1" applyFill="1" applyBorder="1" applyAlignment="1">
      <alignment horizontal="left" vertical="center" wrapText="1"/>
      <protection/>
    </xf>
    <xf numFmtId="0" fontId="6" fillId="0" borderId="61" xfId="53" applyFont="1" applyFill="1" applyBorder="1" applyAlignment="1">
      <alignment horizontal="left" vertical="center" wrapText="1"/>
      <protection/>
    </xf>
    <xf numFmtId="0" fontId="6" fillId="0" borderId="23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63" xfId="53" applyFont="1" applyFill="1" applyBorder="1" applyAlignment="1">
      <alignment horizontal="left" vertical="center" wrapText="1"/>
      <protection/>
    </xf>
    <xf numFmtId="169" fontId="9" fillId="35" borderId="28" xfId="53" applyNumberFormat="1" applyFont="1" applyFill="1" applyBorder="1" applyAlignment="1">
      <alignment horizontal="center"/>
      <protection/>
    </xf>
    <xf numFmtId="0" fontId="9" fillId="35" borderId="61" xfId="53" applyFont="1" applyFill="1" applyBorder="1" applyAlignment="1">
      <alignment horizontal="center"/>
      <protection/>
    </xf>
    <xf numFmtId="0" fontId="9" fillId="35" borderId="24" xfId="53" applyFont="1" applyFill="1" applyBorder="1" applyAlignment="1">
      <alignment horizontal="center"/>
      <protection/>
    </xf>
    <xf numFmtId="0" fontId="9" fillId="35" borderId="63" xfId="53" applyFont="1" applyFill="1" applyBorder="1" applyAlignment="1">
      <alignment horizontal="center"/>
      <protection/>
    </xf>
    <xf numFmtId="0" fontId="9" fillId="35" borderId="60" xfId="53" applyFont="1" applyFill="1" applyBorder="1" applyAlignment="1">
      <alignment horizontal="center"/>
      <protection/>
    </xf>
    <xf numFmtId="0" fontId="9" fillId="35" borderId="28" xfId="53" applyFont="1" applyFill="1" applyBorder="1" applyAlignment="1">
      <alignment horizontal="center"/>
      <protection/>
    </xf>
    <xf numFmtId="0" fontId="9" fillId="35" borderId="23" xfId="53" applyFont="1" applyFill="1" applyBorder="1" applyAlignment="1">
      <alignment horizontal="center"/>
      <protection/>
    </xf>
    <xf numFmtId="0" fontId="60" fillId="0" borderId="0" xfId="0" applyFont="1" applyFill="1" applyBorder="1" applyAlignment="1" quotePrefix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1" fillId="35" borderId="55" xfId="0" applyFont="1" applyFill="1" applyBorder="1" applyAlignment="1" quotePrefix="1">
      <alignment horizontal="right" vertical="center" wrapText="1"/>
    </xf>
    <xf numFmtId="0" fontId="61" fillId="35" borderId="54" xfId="0" applyFont="1" applyFill="1" applyBorder="1" applyAlignment="1" quotePrefix="1">
      <alignment horizontal="right" vertical="center" wrapText="1"/>
    </xf>
    <xf numFmtId="0" fontId="60" fillId="35" borderId="10" xfId="0" applyFont="1" applyFill="1" applyBorder="1" applyAlignment="1">
      <alignment horizontal="right" vertical="center" wrapText="1"/>
    </xf>
    <xf numFmtId="0" fontId="59" fillId="38" borderId="37" xfId="0" applyFont="1" applyFill="1" applyBorder="1" applyAlignment="1">
      <alignment horizontal="left" vertical="justify" wrapText="1"/>
    </xf>
    <xf numFmtId="0" fontId="59" fillId="38" borderId="38" xfId="0" applyFont="1" applyFill="1" applyBorder="1" applyAlignment="1">
      <alignment horizontal="left" vertical="justify" wrapText="1"/>
    </xf>
    <xf numFmtId="0" fontId="60" fillId="0" borderId="38" xfId="0" applyFont="1" applyFill="1" applyBorder="1" applyAlignment="1">
      <alignment horizontal="center" vertical="center" wrapText="1"/>
    </xf>
    <xf numFmtId="0" fontId="60" fillId="35" borderId="37" xfId="0" applyFont="1" applyFill="1" applyBorder="1" applyAlignment="1" quotePrefix="1">
      <alignment horizontal="right" vertical="center" wrapText="1"/>
    </xf>
    <xf numFmtId="0" fontId="0" fillId="0" borderId="38" xfId="0" applyFill="1" applyBorder="1" applyAlignment="1" quotePrefix="1">
      <alignment horizontal="center" vertical="center" wrapText="1"/>
    </xf>
    <xf numFmtId="0" fontId="59" fillId="37" borderId="59" xfId="0" applyFont="1" applyFill="1" applyBorder="1" applyAlignment="1">
      <alignment horizontal="left" vertical="justify" wrapText="1"/>
    </xf>
    <xf numFmtId="0" fontId="59" fillId="37" borderId="65" xfId="0" applyFont="1" applyFill="1" applyBorder="1" applyAlignment="1">
      <alignment horizontal="left" vertical="justify" wrapText="1"/>
    </xf>
    <xf numFmtId="0" fontId="0" fillId="0" borderId="4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60" fillId="0" borderId="41" xfId="0" applyFont="1" applyFill="1" applyBorder="1" applyAlignment="1" quotePrefix="1">
      <alignment horizontal="right" vertical="center" wrapText="1"/>
    </xf>
    <xf numFmtId="0" fontId="60" fillId="0" borderId="10" xfId="0" applyFont="1" applyFill="1" applyBorder="1" applyAlignment="1" quotePrefix="1">
      <alignment horizontal="right" vertical="center" wrapText="1"/>
    </xf>
    <xf numFmtId="0" fontId="60" fillId="0" borderId="37" xfId="0" applyFont="1" applyFill="1" applyBorder="1" applyAlignment="1" quotePrefix="1">
      <alignment horizontal="right" vertical="center" wrapText="1"/>
    </xf>
    <xf numFmtId="0" fontId="60" fillId="35" borderId="10" xfId="0" applyFont="1" applyFill="1" applyBorder="1" applyAlignment="1" quotePrefix="1">
      <alignment horizontal="right" vertical="center" wrapText="1"/>
    </xf>
    <xf numFmtId="0" fontId="59" fillId="37" borderId="37" xfId="0" applyFont="1" applyFill="1" applyBorder="1" applyAlignment="1">
      <alignment vertical="center" wrapText="1"/>
    </xf>
    <xf numFmtId="0" fontId="59" fillId="37" borderId="38" xfId="0" applyFont="1" applyFill="1" applyBorder="1" applyAlignment="1">
      <alignment vertical="center" wrapText="1"/>
    </xf>
    <xf numFmtId="0" fontId="0" fillId="0" borderId="38" xfId="0" applyFill="1" applyBorder="1" applyAlignment="1" quotePrefix="1">
      <alignment horizontal="right" vertical="center" wrapText="1"/>
    </xf>
    <xf numFmtId="0" fontId="0" fillId="0" borderId="41" xfId="0" applyFill="1" applyBorder="1" applyAlignment="1" quotePrefix="1">
      <alignment horizontal="right" vertical="center" wrapText="1"/>
    </xf>
    <xf numFmtId="0" fontId="60" fillId="0" borderId="38" xfId="0" applyFont="1" applyFill="1" applyBorder="1" applyAlignment="1" quotePrefix="1">
      <alignment horizontal="right" vertical="center" wrapText="1"/>
    </xf>
    <xf numFmtId="0" fontId="13" fillId="37" borderId="50" xfId="53" applyFont="1" applyFill="1" applyBorder="1" applyAlignment="1">
      <alignment horizontal="center" vertical="center"/>
      <protection/>
    </xf>
    <xf numFmtId="0" fontId="13" fillId="37" borderId="51" xfId="53" applyFont="1" applyFill="1" applyBorder="1" applyAlignment="1">
      <alignment horizontal="center" vertical="center"/>
      <protection/>
    </xf>
    <xf numFmtId="0" fontId="13" fillId="37" borderId="52" xfId="53" applyFont="1" applyFill="1" applyBorder="1" applyAlignment="1">
      <alignment horizontal="center" vertical="center"/>
      <protection/>
    </xf>
    <xf numFmtId="0" fontId="13" fillId="37" borderId="56" xfId="53" applyFont="1" applyFill="1" applyBorder="1" applyAlignment="1">
      <alignment horizontal="center" vertical="center"/>
      <protection/>
    </xf>
    <xf numFmtId="0" fontId="59" fillId="38" borderId="48" xfId="0" applyFont="1" applyFill="1" applyBorder="1" applyAlignment="1">
      <alignment horizontal="left" vertical="justify" wrapText="1"/>
    </xf>
    <xf numFmtId="0" fontId="59" fillId="37" borderId="10" xfId="0" applyFont="1" applyFill="1" applyBorder="1" applyAlignment="1">
      <alignment horizontal="left" vertical="justify" wrapText="1"/>
    </xf>
    <xf numFmtId="0" fontId="0" fillId="0" borderId="16" xfId="0" applyFill="1" applyBorder="1" applyAlignment="1">
      <alignment horizontal="center" vertical="center" wrapText="1"/>
    </xf>
    <xf numFmtId="0" fontId="59" fillId="41" borderId="53" xfId="0" applyFont="1" applyFill="1" applyBorder="1" applyAlignment="1">
      <alignment horizontal="left" vertical="top" wrapText="1"/>
    </xf>
    <xf numFmtId="0" fontId="59" fillId="41" borderId="54" xfId="0" applyFont="1" applyFill="1" applyBorder="1" applyAlignment="1">
      <alignment horizontal="left" vertical="top" wrapText="1"/>
    </xf>
    <xf numFmtId="0" fontId="59" fillId="41" borderId="46" xfId="0" applyFont="1" applyFill="1" applyBorder="1" applyAlignment="1">
      <alignment horizontal="left" vertical="top" wrapText="1"/>
    </xf>
    <xf numFmtId="0" fontId="59" fillId="37" borderId="48" xfId="0" applyFont="1" applyFill="1" applyBorder="1" applyAlignment="1">
      <alignment horizontal="left" vertical="justify" wrapText="1"/>
    </xf>
    <xf numFmtId="0" fontId="6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 quotePrefix="1">
      <alignment horizontal="center" vertical="center" wrapText="1"/>
    </xf>
    <xf numFmtId="0" fontId="0" fillId="0" borderId="17" xfId="0" applyFill="1" applyBorder="1" applyAlignment="1" quotePrefix="1">
      <alignment horizontal="center" vertical="center" wrapText="1"/>
    </xf>
    <xf numFmtId="0" fontId="0" fillId="0" borderId="66" xfId="0" applyFill="1" applyBorder="1" applyAlignment="1" quotePrefix="1">
      <alignment horizontal="center" vertical="center" wrapText="1"/>
    </xf>
    <xf numFmtId="0" fontId="59" fillId="33" borderId="48" xfId="0" applyFont="1" applyFill="1" applyBorder="1" applyAlignment="1">
      <alignment horizontal="left" vertical="justify" wrapText="1"/>
    </xf>
    <xf numFmtId="0" fontId="59" fillId="33" borderId="10" xfId="0" applyFont="1" applyFill="1" applyBorder="1" applyAlignment="1">
      <alignment horizontal="left" vertical="justify" wrapText="1"/>
    </xf>
    <xf numFmtId="0" fontId="59" fillId="37" borderId="41" xfId="0" applyFont="1" applyFill="1" applyBorder="1" applyAlignment="1">
      <alignment horizontal="left" vertical="justify" wrapText="1"/>
    </xf>
    <xf numFmtId="0" fontId="59" fillId="37" borderId="10" xfId="0" applyFont="1" applyFill="1" applyBorder="1" applyAlignment="1">
      <alignment vertical="center" wrapText="1"/>
    </xf>
    <xf numFmtId="0" fontId="10" fillId="0" borderId="60" xfId="53" applyFont="1" applyFill="1" applyBorder="1" applyAlignment="1">
      <alignment horizontal="center" vertical="center"/>
      <protection/>
    </xf>
    <xf numFmtId="0" fontId="10" fillId="0" borderId="28" xfId="53" applyFont="1" applyFill="1" applyBorder="1" applyAlignment="1">
      <alignment horizontal="center" vertical="center"/>
      <protection/>
    </xf>
    <xf numFmtId="0" fontId="10" fillId="0" borderId="61" xfId="53" applyFont="1" applyFill="1" applyBorder="1" applyAlignment="1">
      <alignment horizontal="center" vertical="center"/>
      <protection/>
    </xf>
    <xf numFmtId="0" fontId="10" fillId="0" borderId="19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62" xfId="53" applyFont="1" applyFill="1" applyBorder="1" applyAlignment="1">
      <alignment horizontal="center" vertical="center"/>
      <protection/>
    </xf>
    <xf numFmtId="0" fontId="8" fillId="35" borderId="60" xfId="53" applyFont="1" applyFill="1" applyBorder="1" applyAlignment="1">
      <alignment horizontal="left" vertical="center"/>
      <protection/>
    </xf>
    <xf numFmtId="0" fontId="8" fillId="35" borderId="28" xfId="53" applyFont="1" applyFill="1" applyBorder="1" applyAlignment="1">
      <alignment horizontal="left" vertical="center"/>
      <protection/>
    </xf>
    <xf numFmtId="0" fontId="8" fillId="35" borderId="61" xfId="53" applyFont="1" applyFill="1" applyBorder="1" applyAlignment="1">
      <alignment horizontal="left" vertical="center"/>
      <protection/>
    </xf>
    <xf numFmtId="0" fontId="8" fillId="35" borderId="23" xfId="53" applyFont="1" applyFill="1" applyBorder="1" applyAlignment="1">
      <alignment horizontal="left" vertical="center"/>
      <protection/>
    </xf>
    <xf numFmtId="0" fontId="8" fillId="35" borderId="24" xfId="53" applyFont="1" applyFill="1" applyBorder="1" applyAlignment="1">
      <alignment horizontal="left" vertical="center"/>
      <protection/>
    </xf>
    <xf numFmtId="0" fontId="8" fillId="35" borderId="63" xfId="53" applyFont="1" applyFill="1" applyBorder="1" applyAlignment="1">
      <alignment horizontal="left" vertical="center"/>
      <protection/>
    </xf>
    <xf numFmtId="171" fontId="6" fillId="34" borderId="67" xfId="53" applyNumberFormat="1" applyFont="1" applyFill="1" applyBorder="1" applyAlignment="1">
      <alignment horizontal="center" vertical="center"/>
      <protection/>
    </xf>
    <xf numFmtId="171" fontId="6" fillId="34" borderId="68" xfId="53" applyNumberFormat="1" applyFont="1" applyFill="1" applyBorder="1" applyAlignment="1">
      <alignment horizontal="center" vertical="center"/>
      <protection/>
    </xf>
    <xf numFmtId="171" fontId="6" fillId="34" borderId="64" xfId="53" applyNumberFormat="1" applyFont="1" applyFill="1" applyBorder="1" applyAlignment="1">
      <alignment horizontal="center" vertical="center"/>
      <protection/>
    </xf>
    <xf numFmtId="171" fontId="6" fillId="34" borderId="69" xfId="53" applyNumberFormat="1" applyFont="1" applyFill="1" applyBorder="1" applyAlignment="1">
      <alignment horizontal="center" vertical="center"/>
      <protection/>
    </xf>
    <xf numFmtId="49" fontId="5" fillId="0" borderId="70" xfId="53" applyNumberFormat="1" applyFont="1" applyFill="1" applyBorder="1" applyAlignment="1">
      <alignment horizontal="center" vertical="center" wrapText="1"/>
      <protection/>
    </xf>
    <xf numFmtId="49" fontId="5" fillId="0" borderId="45" xfId="53" applyNumberFormat="1" applyFont="1" applyFill="1" applyBorder="1" applyAlignment="1">
      <alignment horizontal="center" vertical="center" wrapText="1"/>
      <protection/>
    </xf>
    <xf numFmtId="2" fontId="5" fillId="0" borderId="66" xfId="53" applyNumberFormat="1" applyFont="1" applyFill="1" applyBorder="1" applyAlignment="1">
      <alignment horizontal="left" vertical="center" wrapText="1"/>
      <protection/>
    </xf>
    <xf numFmtId="2" fontId="5" fillId="0" borderId="48" xfId="53" applyNumberFormat="1" applyFont="1" applyFill="1" applyBorder="1" applyAlignment="1">
      <alignment horizontal="left" vertical="center" wrapText="1"/>
      <protection/>
    </xf>
    <xf numFmtId="43" fontId="6" fillId="34" borderId="28" xfId="69" applyFont="1" applyFill="1" applyBorder="1" applyAlignment="1">
      <alignment horizontal="center" vertical="center"/>
    </xf>
    <xf numFmtId="43" fontId="6" fillId="34" borderId="24" xfId="69" applyFont="1" applyFill="1" applyBorder="1" applyAlignment="1">
      <alignment horizontal="center" vertical="center"/>
    </xf>
    <xf numFmtId="43" fontId="6" fillId="34" borderId="64" xfId="69" applyFont="1" applyFill="1" applyBorder="1" applyAlignment="1">
      <alignment horizontal="center" vertical="center"/>
    </xf>
    <xf numFmtId="43" fontId="6" fillId="34" borderId="69" xfId="69" applyFont="1" applyFill="1" applyBorder="1" applyAlignment="1">
      <alignment horizontal="center" vertical="center"/>
    </xf>
    <xf numFmtId="171" fontId="6" fillId="34" borderId="34" xfId="53" applyNumberFormat="1" applyFont="1" applyFill="1" applyBorder="1" applyAlignment="1">
      <alignment horizontal="center" vertical="center"/>
      <protection/>
    </xf>
    <xf numFmtId="171" fontId="6" fillId="34" borderId="27" xfId="53" applyNumberFormat="1" applyFont="1" applyFill="1" applyBorder="1" applyAlignment="1">
      <alignment horizontal="center" vertical="center"/>
      <protection/>
    </xf>
    <xf numFmtId="0" fontId="10" fillId="33" borderId="55" xfId="53" applyFont="1" applyFill="1" applyBorder="1" applyAlignment="1">
      <alignment horizontal="center" vertical="center"/>
      <protection/>
    </xf>
    <xf numFmtId="0" fontId="10" fillId="33" borderId="54" xfId="53" applyFont="1" applyFill="1" applyBorder="1" applyAlignment="1">
      <alignment horizontal="center" vertical="center"/>
      <protection/>
    </xf>
    <xf numFmtId="0" fontId="10" fillId="33" borderId="46" xfId="53" applyFont="1" applyFill="1" applyBorder="1" applyAlignment="1">
      <alignment horizontal="center" vertical="center"/>
      <protection/>
    </xf>
    <xf numFmtId="0" fontId="9" fillId="35" borderId="60" xfId="53" applyFont="1" applyFill="1" applyBorder="1" applyAlignment="1">
      <alignment horizontal="center" vertical="center"/>
      <protection/>
    </xf>
    <xf numFmtId="0" fontId="9" fillId="35" borderId="28" xfId="53" applyFont="1" applyFill="1" applyBorder="1" applyAlignment="1">
      <alignment horizontal="center" vertical="center"/>
      <protection/>
    </xf>
    <xf numFmtId="0" fontId="9" fillId="35" borderId="61" xfId="53" applyFont="1" applyFill="1" applyBorder="1" applyAlignment="1">
      <alignment horizontal="center" vertical="center"/>
      <protection/>
    </xf>
    <xf numFmtId="0" fontId="13" fillId="35" borderId="60" xfId="53" applyFont="1" applyFill="1" applyBorder="1" applyAlignment="1">
      <alignment horizontal="center" vertical="center"/>
      <protection/>
    </xf>
    <xf numFmtId="0" fontId="13" fillId="35" borderId="28" xfId="53" applyFont="1" applyFill="1" applyBorder="1" applyAlignment="1">
      <alignment horizontal="center" vertical="center"/>
      <protection/>
    </xf>
    <xf numFmtId="0" fontId="13" fillId="35" borderId="61" xfId="53" applyFont="1" applyFill="1" applyBorder="1" applyAlignment="1">
      <alignment horizontal="center" vertical="center"/>
      <protection/>
    </xf>
    <xf numFmtId="0" fontId="13" fillId="35" borderId="19" xfId="53" applyFont="1" applyFill="1" applyBorder="1" applyAlignment="1">
      <alignment horizontal="center" vertical="center"/>
      <protection/>
    </xf>
    <xf numFmtId="0" fontId="13" fillId="35" borderId="0" xfId="53" applyFont="1" applyFill="1" applyBorder="1" applyAlignment="1">
      <alignment horizontal="center" vertical="center"/>
      <protection/>
    </xf>
    <xf numFmtId="0" fontId="13" fillId="35" borderId="62" xfId="53" applyFont="1" applyFill="1" applyBorder="1" applyAlignment="1">
      <alignment horizontal="center" vertical="center"/>
      <protection/>
    </xf>
    <xf numFmtId="0" fontId="13" fillId="35" borderId="23" xfId="53" applyFont="1" applyFill="1" applyBorder="1" applyAlignment="1">
      <alignment horizontal="center" vertical="center"/>
      <protection/>
    </xf>
    <xf numFmtId="0" fontId="13" fillId="35" borderId="24" xfId="53" applyFont="1" applyFill="1" applyBorder="1" applyAlignment="1">
      <alignment horizontal="center" vertical="center"/>
      <protection/>
    </xf>
    <xf numFmtId="0" fontId="13" fillId="35" borderId="63" xfId="53" applyFont="1" applyFill="1" applyBorder="1" applyAlignment="1">
      <alignment horizontal="center" vertical="center"/>
      <protection/>
    </xf>
    <xf numFmtId="0" fontId="6" fillId="35" borderId="55" xfId="53" applyFont="1" applyFill="1" applyBorder="1" applyAlignment="1">
      <alignment horizontal="center" vertical="center"/>
      <protection/>
    </xf>
    <xf numFmtId="0" fontId="6" fillId="35" borderId="54" xfId="53" applyFont="1" applyFill="1" applyBorder="1" applyAlignment="1">
      <alignment horizontal="center" vertical="center"/>
      <protection/>
    </xf>
    <xf numFmtId="0" fontId="6" fillId="35" borderId="46" xfId="53" applyFont="1" applyFill="1" applyBorder="1" applyAlignment="1">
      <alignment horizontal="center" vertical="center"/>
      <protection/>
    </xf>
    <xf numFmtId="0" fontId="6" fillId="35" borderId="23" xfId="53" applyFont="1" applyFill="1" applyBorder="1" applyAlignment="1">
      <alignment horizontal="center" vertical="center"/>
      <protection/>
    </xf>
    <xf numFmtId="0" fontId="6" fillId="35" borderId="24" xfId="53" applyFont="1" applyFill="1" applyBorder="1" applyAlignment="1">
      <alignment horizontal="center" vertical="center"/>
      <protection/>
    </xf>
    <xf numFmtId="0" fontId="6" fillId="35" borderId="63" xfId="53" applyFont="1" applyFill="1" applyBorder="1" applyAlignment="1">
      <alignment horizontal="center" vertical="center"/>
      <protection/>
    </xf>
    <xf numFmtId="0" fontId="6" fillId="34" borderId="71" xfId="53" applyFont="1" applyFill="1" applyBorder="1" applyAlignment="1">
      <alignment horizontal="center" vertical="center"/>
      <protection/>
    </xf>
    <xf numFmtId="0" fontId="6" fillId="34" borderId="72" xfId="53" applyFont="1" applyFill="1" applyBorder="1" applyAlignment="1">
      <alignment horizontal="center" vertical="center"/>
      <protection/>
    </xf>
    <xf numFmtId="43" fontId="6" fillId="34" borderId="30" xfId="69" applyFont="1" applyFill="1" applyBorder="1" applyAlignment="1">
      <alignment horizontal="center" vertical="center"/>
    </xf>
    <xf numFmtId="43" fontId="6" fillId="34" borderId="32" xfId="69" applyFont="1" applyFill="1" applyBorder="1" applyAlignment="1">
      <alignment horizontal="center" vertical="center"/>
    </xf>
    <xf numFmtId="171" fontId="6" fillId="34" borderId="73" xfId="53" applyNumberFormat="1" applyFont="1" applyFill="1" applyBorder="1" applyAlignment="1">
      <alignment horizontal="center" vertical="center"/>
      <protection/>
    </xf>
    <xf numFmtId="171" fontId="6" fillId="34" borderId="74" xfId="53" applyNumberFormat="1" applyFont="1" applyFill="1" applyBorder="1" applyAlignment="1">
      <alignment horizontal="center" vertical="center"/>
      <protection/>
    </xf>
    <xf numFmtId="49" fontId="5" fillId="0" borderId="73" xfId="53" applyNumberFormat="1" applyFont="1" applyFill="1" applyBorder="1" applyAlignment="1">
      <alignment horizontal="center" vertical="center" wrapText="1"/>
      <protection/>
    </xf>
    <xf numFmtId="0" fontId="5" fillId="0" borderId="67" xfId="53" applyNumberFormat="1" applyFont="1" applyFill="1" applyBorder="1" applyAlignment="1">
      <alignment horizontal="left" vertical="center" wrapText="1"/>
      <protection/>
    </xf>
    <xf numFmtId="0" fontId="5" fillId="0" borderId="48" xfId="53" applyNumberFormat="1" applyFont="1" applyFill="1" applyBorder="1" applyAlignment="1">
      <alignment horizontal="left" vertical="center" wrapText="1"/>
      <protection/>
    </xf>
    <xf numFmtId="2" fontId="5" fillId="0" borderId="57" xfId="53" applyNumberFormat="1" applyFont="1" applyFill="1" applyBorder="1" applyAlignment="1">
      <alignment horizontal="left" vertical="center" wrapText="1"/>
      <protection/>
    </xf>
    <xf numFmtId="10" fontId="5" fillId="34" borderId="10" xfId="0" applyNumberFormat="1" applyFont="1" applyFill="1" applyBorder="1" applyAlignment="1">
      <alignment horizontal="center" vertical="center" wrapText="1"/>
    </xf>
    <xf numFmtId="0" fontId="6" fillId="34" borderId="15" xfId="53" applyFont="1" applyFill="1" applyBorder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/>
      <protection/>
    </xf>
    <xf numFmtId="0" fontId="6" fillId="34" borderId="75" xfId="53" applyFont="1" applyFill="1" applyBorder="1" applyAlignment="1">
      <alignment horizontal="center" vertical="center"/>
      <protection/>
    </xf>
    <xf numFmtId="0" fontId="6" fillId="34" borderId="47" xfId="53" applyFont="1" applyFill="1" applyBorder="1" applyAlignment="1">
      <alignment horizontal="center" vertical="center"/>
      <protection/>
    </xf>
    <xf numFmtId="43" fontId="6" fillId="0" borderId="66" xfId="69" applyFont="1" applyFill="1" applyBorder="1" applyAlignment="1">
      <alignment horizontal="center" vertical="center"/>
    </xf>
    <xf numFmtId="43" fontId="6" fillId="0" borderId="48" xfId="69" applyFont="1" applyFill="1" applyBorder="1" applyAlignment="1">
      <alignment horizontal="center" vertical="center"/>
    </xf>
    <xf numFmtId="10" fontId="6" fillId="34" borderId="66" xfId="57" applyNumberFormat="1" applyFont="1" applyFill="1" applyBorder="1" applyAlignment="1">
      <alignment horizontal="center" vertical="center"/>
    </xf>
    <xf numFmtId="10" fontId="6" fillId="34" borderId="48" xfId="57" applyNumberFormat="1" applyFont="1" applyFill="1" applyBorder="1" applyAlignment="1">
      <alignment horizontal="center" vertical="center"/>
    </xf>
    <xf numFmtId="10" fontId="5" fillId="34" borderId="37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 4" xfId="50"/>
    <cellStyle name="Normal 61" xfId="51"/>
    <cellStyle name="Normal 61 2 2" xfId="52"/>
    <cellStyle name="Normal_planilha orçamentária PORTO BELO 2 - COMPLETA" xfId="53"/>
    <cellStyle name="Nota" xfId="54"/>
    <cellStyle name="Percent" xfId="55"/>
    <cellStyle name="Porcentagem 2 9" xfId="56"/>
    <cellStyle name="Porcentagem_planilha orçamentária PORTO BELO 2 - COMPLETA" xfId="57"/>
    <cellStyle name="Saída" xfId="58"/>
    <cellStyle name="Comma [0]" xfId="59"/>
    <cellStyle name="Separador de milhares_planilha orçamentária PORTO BELO 2 - COMPLETA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476250</xdr:colOff>
      <xdr:row>0</xdr:row>
      <xdr:rowOff>790575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476250</xdr:colOff>
      <xdr:row>0</xdr:row>
      <xdr:rowOff>790575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47625</xdr:colOff>
      <xdr:row>0</xdr:row>
      <xdr:rowOff>952500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5"/>
  <sheetViews>
    <sheetView showGridLines="0" tabSelected="1" zoomScaleSheetLayoutView="120" workbookViewId="0" topLeftCell="A280">
      <selection activeCell="K298" sqref="K298"/>
    </sheetView>
  </sheetViews>
  <sheetFormatPr defaultColWidth="9.140625" defaultRowHeight="15"/>
  <cols>
    <col min="1" max="1" width="6.140625" style="37" bestFit="1" customWidth="1"/>
    <col min="2" max="2" width="8.57421875" style="94" bestFit="1" customWidth="1"/>
    <col min="3" max="3" width="10.421875" style="40" customWidth="1"/>
    <col min="4" max="4" width="71.57421875" style="41" customWidth="1"/>
    <col min="5" max="5" width="9.28125" style="40" customWidth="1"/>
    <col min="6" max="6" width="12.28125" style="42" customWidth="1"/>
    <col min="7" max="7" width="13.140625" style="91" customWidth="1"/>
    <col min="8" max="8" width="15.140625" style="91" customWidth="1"/>
    <col min="9" max="9" width="16.8515625" style="92" customWidth="1"/>
    <col min="10" max="10" width="17.57421875" style="91" customWidth="1"/>
    <col min="11" max="11" width="19.57421875" style="91" customWidth="1"/>
    <col min="12" max="12" width="12.421875" style="37" customWidth="1"/>
    <col min="13" max="16384" width="9.140625" style="1" customWidth="1"/>
  </cols>
  <sheetData>
    <row r="1" spans="1:15" s="31" customFormat="1" ht="63" customHeight="1" thickBot="1">
      <c r="A1" s="407" t="s">
        <v>193</v>
      </c>
      <c r="B1" s="408"/>
      <c r="C1" s="409"/>
      <c r="D1" s="409"/>
      <c r="E1" s="409"/>
      <c r="F1" s="409"/>
      <c r="G1" s="409"/>
      <c r="H1" s="409"/>
      <c r="I1" s="409"/>
      <c r="J1" s="410"/>
      <c r="K1" s="182"/>
      <c r="L1" s="188"/>
      <c r="M1" s="32"/>
      <c r="N1" s="32"/>
      <c r="O1" s="32"/>
    </row>
    <row r="2" spans="1:12" s="32" customFormat="1" ht="21.75" customHeight="1">
      <c r="A2" s="363" t="s">
        <v>453</v>
      </c>
      <c r="B2" s="364"/>
      <c r="C2" s="364"/>
      <c r="D2" s="364"/>
      <c r="E2" s="364"/>
      <c r="F2" s="364"/>
      <c r="G2" s="364"/>
      <c r="H2" s="364"/>
      <c r="I2" s="364"/>
      <c r="J2" s="365"/>
      <c r="K2" s="192"/>
      <c r="L2" s="43"/>
    </row>
    <row r="3" spans="1:12" s="32" customFormat="1" ht="15" customHeight="1" thickBot="1">
      <c r="A3" s="366"/>
      <c r="B3" s="367"/>
      <c r="C3" s="367"/>
      <c r="D3" s="367"/>
      <c r="E3" s="367"/>
      <c r="F3" s="367"/>
      <c r="G3" s="367"/>
      <c r="H3" s="367"/>
      <c r="I3" s="367"/>
      <c r="J3" s="368"/>
      <c r="K3" s="192"/>
      <c r="L3" s="43"/>
    </row>
    <row r="4" spans="1:12" s="32" customFormat="1" ht="14.25" customHeight="1">
      <c r="A4" s="369" t="s">
        <v>615</v>
      </c>
      <c r="B4" s="370"/>
      <c r="C4" s="370"/>
      <c r="D4" s="371"/>
      <c r="E4" s="379" t="s">
        <v>367</v>
      </c>
      <c r="F4" s="380"/>
      <c r="G4" s="380"/>
      <c r="H4" s="380"/>
      <c r="I4" s="375">
        <f>J287</f>
        <v>698666.0969000001</v>
      </c>
      <c r="J4" s="376"/>
      <c r="K4" s="193"/>
      <c r="L4" s="44"/>
    </row>
    <row r="5" spans="1:12" s="32" customFormat="1" ht="15.75" customHeight="1" thickBot="1">
      <c r="A5" s="372" t="s">
        <v>366</v>
      </c>
      <c r="B5" s="373"/>
      <c r="C5" s="373"/>
      <c r="D5" s="374"/>
      <c r="E5" s="381"/>
      <c r="F5" s="377"/>
      <c r="G5" s="377"/>
      <c r="H5" s="377"/>
      <c r="I5" s="377"/>
      <c r="J5" s="378"/>
      <c r="K5" s="194"/>
      <c r="L5" s="44"/>
    </row>
    <row r="6" spans="1:12" s="32" customFormat="1" ht="15.75" customHeight="1" thickBot="1">
      <c r="A6" s="183"/>
      <c r="B6" s="183"/>
      <c r="C6" s="183"/>
      <c r="D6" s="183"/>
      <c r="E6" s="184"/>
      <c r="F6" s="184"/>
      <c r="G6" s="184"/>
      <c r="H6" s="184"/>
      <c r="I6" s="184"/>
      <c r="J6" s="184"/>
      <c r="K6" s="195"/>
      <c r="L6" s="44"/>
    </row>
    <row r="7" spans="1:12" s="314" customFormat="1" ht="26.25" thickBot="1">
      <c r="A7" s="309" t="s">
        <v>194</v>
      </c>
      <c r="B7" s="309" t="s">
        <v>618</v>
      </c>
      <c r="C7" s="309" t="s">
        <v>617</v>
      </c>
      <c r="D7" s="309" t="s">
        <v>616</v>
      </c>
      <c r="E7" s="309" t="s">
        <v>363</v>
      </c>
      <c r="F7" s="310" t="s">
        <v>368</v>
      </c>
      <c r="G7" s="311" t="s">
        <v>362</v>
      </c>
      <c r="H7" s="311" t="s">
        <v>361</v>
      </c>
      <c r="I7" s="311" t="s">
        <v>364</v>
      </c>
      <c r="J7" s="312" t="s">
        <v>619</v>
      </c>
      <c r="K7" s="196"/>
      <c r="L7" s="313"/>
    </row>
    <row r="8" spans="1:12" s="32" customFormat="1" ht="15.75" thickBot="1">
      <c r="A8" s="185"/>
      <c r="B8" s="185"/>
      <c r="C8" s="185"/>
      <c r="D8" s="185"/>
      <c r="E8" s="185"/>
      <c r="F8" s="186"/>
      <c r="G8" s="187"/>
      <c r="H8" s="187"/>
      <c r="I8" s="187"/>
      <c r="J8" s="187"/>
      <c r="K8" s="196"/>
      <c r="L8" s="189"/>
    </row>
    <row r="9" spans="1:12" s="32" customFormat="1" ht="15.75" thickBot="1">
      <c r="A9" s="296">
        <v>1</v>
      </c>
      <c r="B9" s="297"/>
      <c r="C9" s="305" t="s">
        <v>2</v>
      </c>
      <c r="D9" s="361" t="s">
        <v>3</v>
      </c>
      <c r="E9" s="362"/>
      <c r="F9" s="362"/>
      <c r="G9" s="362"/>
      <c r="H9" s="306"/>
      <c r="I9" s="307"/>
      <c r="J9" s="308"/>
      <c r="L9" s="189"/>
    </row>
    <row r="10" spans="1:12" s="32" customFormat="1" ht="15">
      <c r="A10" s="160" t="s">
        <v>237</v>
      </c>
      <c r="B10" s="162"/>
      <c r="C10" s="315">
        <v>105</v>
      </c>
      <c r="D10" s="323" t="s">
        <v>239</v>
      </c>
      <c r="E10" s="323"/>
      <c r="F10" s="323"/>
      <c r="G10" s="323"/>
      <c r="H10" s="323"/>
      <c r="I10" s="323"/>
      <c r="J10" s="323"/>
      <c r="K10" s="197"/>
      <c r="L10" s="189"/>
    </row>
    <row r="11" spans="1:11" ht="15">
      <c r="A11" s="78" t="s">
        <v>240</v>
      </c>
      <c r="B11" s="216" t="s">
        <v>354</v>
      </c>
      <c r="C11" s="276">
        <v>10501</v>
      </c>
      <c r="D11" s="316" t="s">
        <v>5</v>
      </c>
      <c r="E11" s="317" t="s">
        <v>6</v>
      </c>
      <c r="F11" s="318">
        <v>289.86</v>
      </c>
      <c r="G11" s="319">
        <v>20.29</v>
      </c>
      <c r="H11" s="320"/>
      <c r="I11" s="321">
        <f>ROUND(F11*G11,2)</f>
        <v>5881.26</v>
      </c>
      <c r="J11" s="322"/>
      <c r="K11" s="130"/>
    </row>
    <row r="12" spans="1:12" ht="15">
      <c r="A12" s="108"/>
      <c r="B12" s="164"/>
      <c r="C12" s="391" t="s">
        <v>7</v>
      </c>
      <c r="D12" s="343"/>
      <c r="E12" s="343"/>
      <c r="F12" s="343"/>
      <c r="G12" s="343"/>
      <c r="H12" s="343"/>
      <c r="I12" s="343"/>
      <c r="J12" s="120">
        <f>I11</f>
        <v>5881.26</v>
      </c>
      <c r="K12" s="198"/>
      <c r="L12" s="99"/>
    </row>
    <row r="13" spans="1:12" ht="15.75" thickBot="1">
      <c r="A13" s="81"/>
      <c r="B13" s="165"/>
      <c r="C13" s="345"/>
      <c r="D13" s="346"/>
      <c r="E13" s="346"/>
      <c r="F13" s="346"/>
      <c r="G13" s="346"/>
      <c r="H13" s="347"/>
      <c r="I13" s="347"/>
      <c r="J13" s="146"/>
      <c r="K13" s="255"/>
      <c r="L13" s="99"/>
    </row>
    <row r="14" spans="1:12" ht="15.75" thickBot="1">
      <c r="A14" s="296">
        <v>2</v>
      </c>
      <c r="B14" s="297"/>
      <c r="C14" s="298" t="s">
        <v>8</v>
      </c>
      <c r="D14" s="341" t="s">
        <v>9</v>
      </c>
      <c r="E14" s="341"/>
      <c r="F14" s="341"/>
      <c r="G14" s="342"/>
      <c r="H14" s="296"/>
      <c r="I14" s="297"/>
      <c r="J14" s="298"/>
      <c r="K14" s="142"/>
      <c r="L14" s="99"/>
    </row>
    <row r="15" spans="1:12" ht="15">
      <c r="A15" s="102" t="s">
        <v>253</v>
      </c>
      <c r="B15" s="166"/>
      <c r="C15" s="104">
        <v>203</v>
      </c>
      <c r="D15" s="328" t="s">
        <v>10</v>
      </c>
      <c r="E15" s="329"/>
      <c r="F15" s="329"/>
      <c r="G15" s="329"/>
      <c r="H15" s="329"/>
      <c r="I15" s="329"/>
      <c r="J15" s="118"/>
      <c r="K15" s="142"/>
      <c r="L15" s="99"/>
    </row>
    <row r="16" spans="1:11" ht="15">
      <c r="A16" s="78" t="s">
        <v>254</v>
      </c>
      <c r="B16" s="216" t="s">
        <v>354</v>
      </c>
      <c r="C16" s="77">
        <v>20305</v>
      </c>
      <c r="D16" s="33" t="s">
        <v>11</v>
      </c>
      <c r="E16" s="34" t="s">
        <v>6</v>
      </c>
      <c r="F16" s="35">
        <v>8</v>
      </c>
      <c r="G16" s="129">
        <v>277.46</v>
      </c>
      <c r="H16" s="129"/>
      <c r="I16" s="139">
        <f>ROUND(F16*G16,2)</f>
        <v>2219.68</v>
      </c>
      <c r="J16" s="96"/>
      <c r="K16" s="130"/>
    </row>
    <row r="17" spans="1:11" ht="36">
      <c r="A17" s="78" t="s">
        <v>255</v>
      </c>
      <c r="B17" s="216" t="s">
        <v>354</v>
      </c>
      <c r="C17" s="77">
        <v>20350</v>
      </c>
      <c r="D17" s="33" t="s">
        <v>12</v>
      </c>
      <c r="E17" s="34" t="s">
        <v>13</v>
      </c>
      <c r="F17" s="35">
        <v>26.44</v>
      </c>
      <c r="G17" s="129">
        <v>150.64</v>
      </c>
      <c r="H17" s="129"/>
      <c r="I17" s="139">
        <f>ROUND(F17*G17,2)</f>
        <v>3982.92</v>
      </c>
      <c r="J17" s="96"/>
      <c r="K17" s="130"/>
    </row>
    <row r="18" spans="1:12" s="37" customFormat="1" ht="15">
      <c r="A18" s="102" t="s">
        <v>238</v>
      </c>
      <c r="B18" s="166"/>
      <c r="C18" s="115">
        <v>207</v>
      </c>
      <c r="D18" s="402" t="s">
        <v>14</v>
      </c>
      <c r="E18" s="403"/>
      <c r="F18" s="403"/>
      <c r="G18" s="403"/>
      <c r="H18" s="403"/>
      <c r="I18" s="403"/>
      <c r="J18" s="159"/>
      <c r="K18" s="199"/>
      <c r="L18" s="99"/>
    </row>
    <row r="19" spans="1:11" ht="36">
      <c r="A19" s="78" t="s">
        <v>241</v>
      </c>
      <c r="B19" s="216" t="s">
        <v>354</v>
      </c>
      <c r="C19" s="77">
        <v>20802</v>
      </c>
      <c r="D19" s="33" t="s">
        <v>416</v>
      </c>
      <c r="E19" s="34" t="s">
        <v>6</v>
      </c>
      <c r="F19" s="35">
        <v>10.9</v>
      </c>
      <c r="G19" s="129">
        <v>328.35</v>
      </c>
      <c r="H19" s="129"/>
      <c r="I19" s="139">
        <f>ROUND(F19*G19,2)</f>
        <v>3579.02</v>
      </c>
      <c r="J19" s="96"/>
      <c r="K19" s="130"/>
    </row>
    <row r="20" spans="1:11" ht="36">
      <c r="A20" s="78" t="s">
        <v>242</v>
      </c>
      <c r="B20" s="216" t="s">
        <v>354</v>
      </c>
      <c r="C20" s="77">
        <v>20801</v>
      </c>
      <c r="D20" s="33" t="s">
        <v>417</v>
      </c>
      <c r="E20" s="34" t="s">
        <v>6</v>
      </c>
      <c r="F20" s="35">
        <v>14.5</v>
      </c>
      <c r="G20" s="129">
        <v>467.76</v>
      </c>
      <c r="H20" s="129"/>
      <c r="I20" s="139">
        <f>ROUND(F20*G20,2)</f>
        <v>6782.52</v>
      </c>
      <c r="J20" s="96"/>
      <c r="K20" s="130"/>
    </row>
    <row r="21" spans="1:11" ht="36">
      <c r="A21" s="78" t="s">
        <v>243</v>
      </c>
      <c r="B21" s="216" t="s">
        <v>354</v>
      </c>
      <c r="C21" s="77">
        <v>20704</v>
      </c>
      <c r="D21" s="33" t="s">
        <v>418</v>
      </c>
      <c r="E21" s="34" t="s">
        <v>6</v>
      </c>
      <c r="F21" s="35">
        <v>18.15</v>
      </c>
      <c r="G21" s="129">
        <v>399.44</v>
      </c>
      <c r="H21" s="129"/>
      <c r="I21" s="139">
        <f>ROUND(F21*G21,2)</f>
        <v>7249.84</v>
      </c>
      <c r="J21" s="96"/>
      <c r="K21" s="130"/>
    </row>
    <row r="22" spans="1:11" ht="36">
      <c r="A22" s="78" t="s">
        <v>244</v>
      </c>
      <c r="B22" s="216" t="s">
        <v>354</v>
      </c>
      <c r="C22" s="77">
        <v>20808</v>
      </c>
      <c r="D22" s="33" t="s">
        <v>419</v>
      </c>
      <c r="E22" s="34" t="s">
        <v>6</v>
      </c>
      <c r="F22" s="35">
        <v>12</v>
      </c>
      <c r="G22" s="129">
        <v>117.13</v>
      </c>
      <c r="H22" s="129"/>
      <c r="I22" s="139">
        <f>ROUND(F22*G22,2)</f>
        <v>1405.56</v>
      </c>
      <c r="J22" s="96"/>
      <c r="K22" s="130"/>
    </row>
    <row r="23" spans="1:12" ht="15">
      <c r="A23" s="108"/>
      <c r="B23" s="164"/>
      <c r="C23" s="338" t="s">
        <v>15</v>
      </c>
      <c r="D23" s="339"/>
      <c r="E23" s="339"/>
      <c r="F23" s="339"/>
      <c r="G23" s="339"/>
      <c r="H23" s="339"/>
      <c r="I23" s="340"/>
      <c r="J23" s="158">
        <f>SUM(I16:I22)</f>
        <v>25219.54</v>
      </c>
      <c r="K23" s="279"/>
      <c r="L23" s="99"/>
    </row>
    <row r="24" spans="1:12" ht="15.75" thickBot="1">
      <c r="A24" s="81"/>
      <c r="B24" s="165"/>
      <c r="C24" s="333"/>
      <c r="D24" s="334"/>
      <c r="E24" s="334"/>
      <c r="F24" s="334"/>
      <c r="G24" s="334"/>
      <c r="H24" s="335"/>
      <c r="I24" s="335"/>
      <c r="J24" s="147"/>
      <c r="K24" s="200"/>
      <c r="L24" s="99"/>
    </row>
    <row r="25" spans="1:12" ht="15.75" thickBot="1">
      <c r="A25" s="296">
        <v>3</v>
      </c>
      <c r="B25" s="297"/>
      <c r="C25" s="298" t="s">
        <v>16</v>
      </c>
      <c r="D25" s="341" t="s">
        <v>17</v>
      </c>
      <c r="E25" s="341"/>
      <c r="F25" s="341"/>
      <c r="G25" s="342"/>
      <c r="H25" s="296"/>
      <c r="I25" s="297"/>
      <c r="J25" s="298"/>
      <c r="K25" s="142"/>
      <c r="L25" s="99"/>
    </row>
    <row r="26" spans="1:12" ht="15">
      <c r="A26" s="102" t="s">
        <v>245</v>
      </c>
      <c r="B26" s="166"/>
      <c r="C26" s="103" t="s">
        <v>18</v>
      </c>
      <c r="D26" s="328" t="s">
        <v>19</v>
      </c>
      <c r="E26" s="329"/>
      <c r="F26" s="329"/>
      <c r="G26" s="329"/>
      <c r="H26" s="329"/>
      <c r="I26" s="329"/>
      <c r="J26" s="118"/>
      <c r="K26" s="142"/>
      <c r="L26" s="99"/>
    </row>
    <row r="27" spans="1:11" ht="15">
      <c r="A27" s="78" t="s">
        <v>246</v>
      </c>
      <c r="B27" s="216" t="s">
        <v>354</v>
      </c>
      <c r="C27" s="124">
        <v>30101</v>
      </c>
      <c r="D27" s="33" t="s">
        <v>20</v>
      </c>
      <c r="E27" s="34" t="s">
        <v>21</v>
      </c>
      <c r="F27" s="35">
        <f>'M Cálculo'!F25</f>
        <v>67.33999999999999</v>
      </c>
      <c r="G27" s="129">
        <v>45.87</v>
      </c>
      <c r="H27" s="129"/>
      <c r="I27" s="139">
        <f>ROUND(F27*G27,2)</f>
        <v>3088.89</v>
      </c>
      <c r="J27" s="96"/>
      <c r="K27" s="130"/>
    </row>
    <row r="28" spans="1:11" ht="15">
      <c r="A28" s="78" t="s">
        <v>247</v>
      </c>
      <c r="B28" s="216" t="s">
        <v>354</v>
      </c>
      <c r="C28" s="124">
        <v>30119</v>
      </c>
      <c r="D28" s="33" t="s">
        <v>22</v>
      </c>
      <c r="E28" s="34" t="s">
        <v>6</v>
      </c>
      <c r="F28" s="35">
        <f>'M Cálculo'!F26</f>
        <v>56.56</v>
      </c>
      <c r="G28" s="129">
        <v>23.99</v>
      </c>
      <c r="H28" s="129"/>
      <c r="I28" s="139">
        <f>ROUND(F28*G28,2)</f>
        <v>1356.87</v>
      </c>
      <c r="J28" s="96"/>
      <c r="K28" s="130"/>
    </row>
    <row r="29" spans="1:12" ht="15">
      <c r="A29" s="102" t="s">
        <v>248</v>
      </c>
      <c r="B29" s="166"/>
      <c r="C29" s="103" t="s">
        <v>23</v>
      </c>
      <c r="D29" s="328" t="s">
        <v>24</v>
      </c>
      <c r="E29" s="329"/>
      <c r="F29" s="329"/>
      <c r="G29" s="329"/>
      <c r="H29" s="329"/>
      <c r="I29" s="329"/>
      <c r="J29" s="118"/>
      <c r="K29" s="142"/>
      <c r="L29" s="99"/>
    </row>
    <row r="30" spans="1:11" ht="15">
      <c r="A30" s="78" t="s">
        <v>249</v>
      </c>
      <c r="B30" s="216" t="s">
        <v>354</v>
      </c>
      <c r="C30" s="124">
        <v>30201</v>
      </c>
      <c r="D30" s="33" t="s">
        <v>25</v>
      </c>
      <c r="E30" s="34" t="s">
        <v>21</v>
      </c>
      <c r="F30" s="35">
        <f>'M Cálculo'!F28</f>
        <v>49.849999999999994</v>
      </c>
      <c r="G30" s="129">
        <v>49.39</v>
      </c>
      <c r="H30" s="129"/>
      <c r="I30" s="139">
        <f>ROUND(F30*G30,2)</f>
        <v>2462.09</v>
      </c>
      <c r="J30" s="96"/>
      <c r="K30" s="130"/>
    </row>
    <row r="31" spans="1:11" ht="15">
      <c r="A31" s="78" t="s">
        <v>250</v>
      </c>
      <c r="B31" s="216" t="s">
        <v>354</v>
      </c>
      <c r="C31" s="124">
        <v>130112</v>
      </c>
      <c r="D31" s="33" t="s">
        <v>454</v>
      </c>
      <c r="E31" s="34" t="s">
        <v>6</v>
      </c>
      <c r="F31" s="35">
        <f>'M Cálculo'!F29</f>
        <v>56.56</v>
      </c>
      <c r="G31" s="129">
        <v>39.07</v>
      </c>
      <c r="H31" s="129"/>
      <c r="I31" s="139">
        <f>ROUND(F31*G31,2)</f>
        <v>2209.8</v>
      </c>
      <c r="J31" s="96"/>
      <c r="K31" s="130"/>
    </row>
    <row r="32" spans="1:12" ht="15">
      <c r="A32" s="102" t="s">
        <v>251</v>
      </c>
      <c r="B32" s="166"/>
      <c r="C32" s="103" t="s">
        <v>26</v>
      </c>
      <c r="D32" s="328" t="s">
        <v>27</v>
      </c>
      <c r="E32" s="329"/>
      <c r="F32" s="329"/>
      <c r="G32" s="329"/>
      <c r="H32" s="329"/>
      <c r="I32" s="329"/>
      <c r="J32" s="118"/>
      <c r="K32" s="142"/>
      <c r="L32" s="99"/>
    </row>
    <row r="33" spans="1:11" ht="36">
      <c r="A33" s="78" t="s">
        <v>252</v>
      </c>
      <c r="B33" s="216" t="s">
        <v>354</v>
      </c>
      <c r="C33" s="77">
        <v>30304</v>
      </c>
      <c r="D33" s="33" t="s">
        <v>28</v>
      </c>
      <c r="E33" s="34" t="s">
        <v>21</v>
      </c>
      <c r="F33" s="35">
        <f>'M Cálculo'!F31</f>
        <v>17.490000000000002</v>
      </c>
      <c r="G33" s="129">
        <v>59.68</v>
      </c>
      <c r="H33" s="129"/>
      <c r="I33" s="139">
        <f>ROUND(F33*G33,2)</f>
        <v>1043.8</v>
      </c>
      <c r="J33" s="96"/>
      <c r="K33" s="130"/>
    </row>
    <row r="34" spans="1:12" ht="15" customHeight="1">
      <c r="A34" s="80"/>
      <c r="B34" s="167"/>
      <c r="C34" s="400" t="s">
        <v>29</v>
      </c>
      <c r="D34" s="406"/>
      <c r="E34" s="406"/>
      <c r="F34" s="406"/>
      <c r="G34" s="406"/>
      <c r="H34" s="406"/>
      <c r="I34" s="398"/>
      <c r="J34" s="89">
        <f>SUM(I27:I33)</f>
        <v>10161.45</v>
      </c>
      <c r="K34" s="198"/>
      <c r="L34" s="99"/>
    </row>
    <row r="35" spans="1:12" ht="15.75" thickBot="1">
      <c r="A35" s="81"/>
      <c r="B35" s="165"/>
      <c r="C35" s="404"/>
      <c r="D35" s="404"/>
      <c r="E35" s="404"/>
      <c r="F35" s="404"/>
      <c r="G35" s="404"/>
      <c r="H35" s="404"/>
      <c r="I35" s="405"/>
      <c r="J35" s="150"/>
      <c r="K35" s="201"/>
      <c r="L35" s="99"/>
    </row>
    <row r="36" spans="1:12" ht="15.75" thickBot="1">
      <c r="A36" s="296">
        <v>4</v>
      </c>
      <c r="B36" s="297"/>
      <c r="C36" s="298" t="s">
        <v>30</v>
      </c>
      <c r="D36" s="341" t="s">
        <v>31</v>
      </c>
      <c r="E36" s="341"/>
      <c r="F36" s="341"/>
      <c r="G36" s="342"/>
      <c r="H36" s="296"/>
      <c r="I36" s="297"/>
      <c r="J36" s="298"/>
      <c r="K36" s="142"/>
      <c r="L36" s="99"/>
    </row>
    <row r="37" spans="1:12" ht="15">
      <c r="A37" s="102" t="s">
        <v>256</v>
      </c>
      <c r="B37" s="166"/>
      <c r="C37" s="104">
        <v>401</v>
      </c>
      <c r="D37" s="328" t="s">
        <v>32</v>
      </c>
      <c r="E37" s="329"/>
      <c r="F37" s="329"/>
      <c r="G37" s="329"/>
      <c r="H37" s="329"/>
      <c r="I37" s="329"/>
      <c r="J37" s="118"/>
      <c r="K37" s="142"/>
      <c r="L37" s="99"/>
    </row>
    <row r="38" spans="1:11" ht="24">
      <c r="A38" s="78" t="s">
        <v>257</v>
      </c>
      <c r="B38" s="216" t="s">
        <v>355</v>
      </c>
      <c r="C38" s="77">
        <v>96535</v>
      </c>
      <c r="D38" s="33" t="s">
        <v>636</v>
      </c>
      <c r="E38" s="34" t="s">
        <v>6</v>
      </c>
      <c r="F38" s="35">
        <f>'M Cálculo'!F35</f>
        <v>126.10000000000001</v>
      </c>
      <c r="G38" s="129">
        <v>97.49</v>
      </c>
      <c r="H38" s="129">
        <f>G38*1.309</f>
        <v>127.61440999999999</v>
      </c>
      <c r="I38" s="139">
        <f>ROUND(F38*H38,2)</f>
        <v>16092.18</v>
      </c>
      <c r="J38" s="326"/>
      <c r="K38" s="130"/>
    </row>
    <row r="39" spans="1:11" ht="24">
      <c r="A39" s="78" t="s">
        <v>258</v>
      </c>
      <c r="B39" s="216" t="s">
        <v>355</v>
      </c>
      <c r="C39" s="77">
        <v>96542</v>
      </c>
      <c r="D39" s="33" t="s">
        <v>637</v>
      </c>
      <c r="E39" s="34" t="s">
        <v>6</v>
      </c>
      <c r="F39" s="35">
        <f>'M Cálculo'!F36</f>
        <v>107.11</v>
      </c>
      <c r="G39" s="129">
        <v>62.61</v>
      </c>
      <c r="H39" s="129">
        <f>G39*1.309</f>
        <v>81.95649</v>
      </c>
      <c r="I39" s="139">
        <f>ROUND(F39*H39,2)</f>
        <v>8778.36</v>
      </c>
      <c r="J39" s="326"/>
      <c r="K39" s="130"/>
    </row>
    <row r="40" spans="1:11" ht="24">
      <c r="A40" s="78" t="s">
        <v>360</v>
      </c>
      <c r="B40" s="216" t="s">
        <v>354</v>
      </c>
      <c r="C40" s="77">
        <v>40237</v>
      </c>
      <c r="D40" s="33" t="s">
        <v>451</v>
      </c>
      <c r="E40" s="34" t="s">
        <v>21</v>
      </c>
      <c r="F40" s="35">
        <f>'M Cálculo'!F37</f>
        <v>20.409999999999993</v>
      </c>
      <c r="G40" s="129">
        <v>556.17</v>
      </c>
      <c r="H40" s="129"/>
      <c r="I40" s="139">
        <f>ROUND(F40*G40,2)</f>
        <v>11351.43</v>
      </c>
      <c r="J40" s="96"/>
      <c r="K40" s="130"/>
    </row>
    <row r="41" spans="1:11" ht="24">
      <c r="A41" s="78" t="s">
        <v>259</v>
      </c>
      <c r="B41" s="216" t="s">
        <v>354</v>
      </c>
      <c r="C41" s="77">
        <v>40243</v>
      </c>
      <c r="D41" s="33" t="s">
        <v>33</v>
      </c>
      <c r="E41" s="34" t="s">
        <v>34</v>
      </c>
      <c r="F41" s="35">
        <f>'M Cálculo'!F38</f>
        <v>1158.7</v>
      </c>
      <c r="G41" s="129">
        <v>8.76</v>
      </c>
      <c r="H41" s="129"/>
      <c r="I41" s="139">
        <f>ROUND(F41*G41,2)</f>
        <v>10150.21</v>
      </c>
      <c r="J41" s="96"/>
      <c r="K41" s="130"/>
    </row>
    <row r="42" spans="1:11" ht="24">
      <c r="A42" s="78" t="s">
        <v>639</v>
      </c>
      <c r="B42" s="216" t="s">
        <v>354</v>
      </c>
      <c r="C42" s="77">
        <v>40246</v>
      </c>
      <c r="D42" s="33" t="s">
        <v>35</v>
      </c>
      <c r="E42" s="34" t="s">
        <v>34</v>
      </c>
      <c r="F42" s="35">
        <f>'M Cálculo'!F39</f>
        <v>368.81999999999994</v>
      </c>
      <c r="G42" s="129">
        <v>8.81</v>
      </c>
      <c r="H42" s="129"/>
      <c r="I42" s="139">
        <f>ROUND(F42*G42,2)</f>
        <v>3249.3</v>
      </c>
      <c r="J42" s="96"/>
      <c r="K42" s="130"/>
    </row>
    <row r="43" spans="1:12" ht="15">
      <c r="A43" s="102" t="s">
        <v>260</v>
      </c>
      <c r="B43" s="166"/>
      <c r="C43" s="104">
        <v>402</v>
      </c>
      <c r="D43" s="328" t="s">
        <v>452</v>
      </c>
      <c r="E43" s="329"/>
      <c r="F43" s="329"/>
      <c r="G43" s="329"/>
      <c r="H43" s="329"/>
      <c r="I43" s="329"/>
      <c r="J43" s="118"/>
      <c r="K43" s="130"/>
      <c r="L43" s="99"/>
    </row>
    <row r="44" spans="1:12" ht="48">
      <c r="A44" s="78" t="s">
        <v>261</v>
      </c>
      <c r="B44" s="216" t="s">
        <v>355</v>
      </c>
      <c r="C44" s="77">
        <v>92426</v>
      </c>
      <c r="D44" s="33" t="s">
        <v>629</v>
      </c>
      <c r="E44" s="34" t="s">
        <v>6</v>
      </c>
      <c r="F44" s="35">
        <f>'M Cálculo'!F41</f>
        <v>179.4</v>
      </c>
      <c r="G44" s="129">
        <v>43.09</v>
      </c>
      <c r="H44" s="129">
        <f>G44*1.309</f>
        <v>56.404810000000005</v>
      </c>
      <c r="I44" s="139">
        <f>ROUND(F44*H44,2)</f>
        <v>10119.02</v>
      </c>
      <c r="J44" s="96"/>
      <c r="K44" s="130"/>
      <c r="L44" s="99"/>
    </row>
    <row r="45" spans="1:12" ht="36">
      <c r="A45" s="78" t="s">
        <v>262</v>
      </c>
      <c r="B45" s="38" t="s">
        <v>355</v>
      </c>
      <c r="C45" s="171">
        <v>92467</v>
      </c>
      <c r="D45" s="33" t="s">
        <v>630</v>
      </c>
      <c r="E45" s="34" t="s">
        <v>6</v>
      </c>
      <c r="F45" s="35">
        <f>'M Cálculo'!F42</f>
        <v>171.53</v>
      </c>
      <c r="G45" s="278">
        <v>57.42</v>
      </c>
      <c r="H45" s="129">
        <f>G45*1.309</f>
        <v>75.16278</v>
      </c>
      <c r="I45" s="139">
        <f>ROUND(F45*H45,2)</f>
        <v>12892.67</v>
      </c>
      <c r="J45" s="326"/>
      <c r="K45" s="130"/>
      <c r="L45" s="99"/>
    </row>
    <row r="46" spans="1:12" ht="36">
      <c r="A46" s="78" t="s">
        <v>263</v>
      </c>
      <c r="B46" s="38" t="s">
        <v>355</v>
      </c>
      <c r="C46" s="77">
        <v>92486</v>
      </c>
      <c r="D46" s="33" t="s">
        <v>632</v>
      </c>
      <c r="E46" s="34" t="s">
        <v>6</v>
      </c>
      <c r="F46" s="35">
        <f>'M Cálculo'!F43</f>
        <v>242.70999999999998</v>
      </c>
      <c r="G46" s="277">
        <v>94.19</v>
      </c>
      <c r="H46" s="129">
        <f>G46*1.309</f>
        <v>123.29471</v>
      </c>
      <c r="I46" s="139">
        <f>ROUND(F46*H46,2)</f>
        <v>29924.86</v>
      </c>
      <c r="J46" s="326"/>
      <c r="K46" s="130"/>
      <c r="L46" s="99"/>
    </row>
    <row r="47" spans="1:11" ht="24">
      <c r="A47" s="78" t="s">
        <v>264</v>
      </c>
      <c r="B47" s="216" t="s">
        <v>354</v>
      </c>
      <c r="C47" s="77">
        <v>40237</v>
      </c>
      <c r="D47" s="33" t="s">
        <v>451</v>
      </c>
      <c r="E47" s="34" t="s">
        <v>21</v>
      </c>
      <c r="F47" s="35">
        <f>'M Cálculo'!F44</f>
        <v>52.22</v>
      </c>
      <c r="G47" s="129">
        <v>556.17</v>
      </c>
      <c r="H47" s="129"/>
      <c r="I47" s="139">
        <f>ROUND(F47*G47,2)</f>
        <v>29043.2</v>
      </c>
      <c r="J47" s="96"/>
      <c r="K47" s="142"/>
    </row>
    <row r="48" spans="1:11" ht="24">
      <c r="A48" s="78" t="s">
        <v>631</v>
      </c>
      <c r="B48" s="216" t="s">
        <v>354</v>
      </c>
      <c r="C48" s="259">
        <v>40243</v>
      </c>
      <c r="D48" s="33" t="s">
        <v>33</v>
      </c>
      <c r="E48" s="34" t="s">
        <v>34</v>
      </c>
      <c r="F48" s="35">
        <f>'M Cálculo'!F45</f>
        <v>2718.8799999999997</v>
      </c>
      <c r="G48" s="129">
        <v>8.76</v>
      </c>
      <c r="H48" s="129"/>
      <c r="I48" s="139">
        <f>ROUND(F48*G48,2)</f>
        <v>23817.39</v>
      </c>
      <c r="J48" s="96"/>
      <c r="K48" s="130"/>
    </row>
    <row r="49" spans="1:11" ht="24">
      <c r="A49" s="78" t="s">
        <v>633</v>
      </c>
      <c r="B49" s="216" t="s">
        <v>354</v>
      </c>
      <c r="C49" s="77">
        <v>40246</v>
      </c>
      <c r="D49" s="33" t="s">
        <v>35</v>
      </c>
      <c r="E49" s="34" t="s">
        <v>34</v>
      </c>
      <c r="F49" s="35">
        <f>'M Cálculo'!F46</f>
        <v>712.4599999999999</v>
      </c>
      <c r="G49" s="129">
        <v>8.81</v>
      </c>
      <c r="H49" s="129"/>
      <c r="I49" s="139">
        <f>ROUND(F49*G49,2)</f>
        <v>6276.77</v>
      </c>
      <c r="J49" s="96"/>
      <c r="K49" s="130"/>
    </row>
    <row r="50" spans="1:12" ht="14.25" customHeight="1">
      <c r="A50" s="108"/>
      <c r="B50" s="164"/>
      <c r="C50" s="391" t="s">
        <v>36</v>
      </c>
      <c r="D50" s="343"/>
      <c r="E50" s="343"/>
      <c r="F50" s="343"/>
      <c r="G50" s="343"/>
      <c r="H50" s="343"/>
      <c r="I50" s="344"/>
      <c r="J50" s="120">
        <f>SUM(I38:I49)</f>
        <v>161695.38999999998</v>
      </c>
      <c r="K50" s="130"/>
      <c r="L50" s="114"/>
    </row>
    <row r="51" spans="1:12" ht="15.75" thickBot="1">
      <c r="A51" s="81"/>
      <c r="B51" s="165"/>
      <c r="C51" s="345"/>
      <c r="D51" s="346"/>
      <c r="E51" s="346"/>
      <c r="F51" s="346"/>
      <c r="G51" s="346"/>
      <c r="H51" s="347"/>
      <c r="I51" s="347"/>
      <c r="J51" s="146"/>
      <c r="K51" s="255"/>
      <c r="L51" s="99"/>
    </row>
    <row r="52" spans="1:12" ht="15.75" thickBot="1">
      <c r="A52" s="296">
        <v>5</v>
      </c>
      <c r="B52" s="297"/>
      <c r="C52" s="298" t="s">
        <v>37</v>
      </c>
      <c r="D52" s="341" t="s">
        <v>38</v>
      </c>
      <c r="E52" s="341"/>
      <c r="F52" s="341"/>
      <c r="G52" s="342"/>
      <c r="H52" s="296"/>
      <c r="I52" s="297"/>
      <c r="J52" s="298"/>
      <c r="K52" s="142"/>
      <c r="L52" s="99"/>
    </row>
    <row r="53" spans="1:12" ht="15">
      <c r="A53" s="82" t="s">
        <v>265</v>
      </c>
      <c r="B53" s="128"/>
      <c r="C53" s="76" t="s">
        <v>39</v>
      </c>
      <c r="D53" s="336" t="s">
        <v>40</v>
      </c>
      <c r="E53" s="337"/>
      <c r="F53" s="337"/>
      <c r="G53" s="337"/>
      <c r="H53" s="337"/>
      <c r="I53" s="337"/>
      <c r="J53" s="119"/>
      <c r="K53" s="142"/>
      <c r="L53" s="99"/>
    </row>
    <row r="54" spans="1:11" ht="36">
      <c r="A54" s="78" t="s">
        <v>370</v>
      </c>
      <c r="B54" s="38" t="s">
        <v>354</v>
      </c>
      <c r="C54" s="171">
        <v>50606</v>
      </c>
      <c r="D54" s="233" t="s">
        <v>47</v>
      </c>
      <c r="E54" s="34" t="s">
        <v>6</v>
      </c>
      <c r="F54" s="239">
        <f>'M Cálculo'!F50</f>
        <v>582.7200000000001</v>
      </c>
      <c r="G54" s="277">
        <v>50.25</v>
      </c>
      <c r="H54" s="277"/>
      <c r="I54" s="96">
        <f>ROUND(F54*G54,2)</f>
        <v>29281.68</v>
      </c>
      <c r="J54" s="96"/>
      <c r="K54" s="130"/>
    </row>
    <row r="55" spans="1:12" ht="15">
      <c r="A55" s="82" t="s">
        <v>266</v>
      </c>
      <c r="B55" s="128"/>
      <c r="C55" s="76" t="s">
        <v>41</v>
      </c>
      <c r="D55" s="336" t="s">
        <v>42</v>
      </c>
      <c r="E55" s="337"/>
      <c r="F55" s="337"/>
      <c r="G55" s="337"/>
      <c r="H55" s="337"/>
      <c r="I55" s="337"/>
      <c r="J55" s="119"/>
      <c r="K55" s="142"/>
      <c r="L55" s="99"/>
    </row>
    <row r="56" spans="1:11" ht="24">
      <c r="A56" s="78" t="s">
        <v>267</v>
      </c>
      <c r="B56" s="216" t="s">
        <v>354</v>
      </c>
      <c r="C56" s="125">
        <v>50205</v>
      </c>
      <c r="D56" s="33" t="s">
        <v>43</v>
      </c>
      <c r="E56" s="34" t="s">
        <v>6</v>
      </c>
      <c r="F56" s="35">
        <f>'M Cálculo'!F52</f>
        <v>14.3</v>
      </c>
      <c r="G56" s="129">
        <v>463.66</v>
      </c>
      <c r="H56" s="129"/>
      <c r="I56" s="139">
        <f>ROUND(F56*G56,2)</f>
        <v>6630.34</v>
      </c>
      <c r="J56" s="96"/>
      <c r="K56" s="130"/>
    </row>
    <row r="57" spans="1:12" ht="15">
      <c r="A57" s="82" t="s">
        <v>268</v>
      </c>
      <c r="B57" s="128"/>
      <c r="C57" s="76" t="s">
        <v>44</v>
      </c>
      <c r="D57" s="336" t="s">
        <v>45</v>
      </c>
      <c r="E57" s="337"/>
      <c r="F57" s="337"/>
      <c r="G57" s="337"/>
      <c r="H57" s="337"/>
      <c r="I57" s="337"/>
      <c r="J57" s="119"/>
      <c r="K57" s="142"/>
      <c r="L57" s="99"/>
    </row>
    <row r="58" spans="1:11" ht="24">
      <c r="A58" s="78" t="s">
        <v>269</v>
      </c>
      <c r="B58" s="216" t="s">
        <v>354</v>
      </c>
      <c r="C58" s="124">
        <v>50301</v>
      </c>
      <c r="D58" s="33" t="s">
        <v>46</v>
      </c>
      <c r="E58" s="34" t="s">
        <v>13</v>
      </c>
      <c r="F58" s="35">
        <f>'M Cálculo'!F54</f>
        <v>54.6</v>
      </c>
      <c r="G58" s="129">
        <v>10.8</v>
      </c>
      <c r="H58" s="129"/>
      <c r="I58" s="139">
        <f>ROUND(F58*G58,2)</f>
        <v>589.68</v>
      </c>
      <c r="J58" s="96"/>
      <c r="K58" s="202"/>
    </row>
    <row r="59" spans="1:12" ht="15" customHeight="1">
      <c r="A59" s="180"/>
      <c r="B59" s="181"/>
      <c r="C59" s="401" t="s">
        <v>48</v>
      </c>
      <c r="D59" s="401"/>
      <c r="E59" s="401"/>
      <c r="F59" s="401"/>
      <c r="G59" s="401"/>
      <c r="H59" s="401"/>
      <c r="I59" s="401"/>
      <c r="J59" s="179">
        <f>SUM(I54:I58)</f>
        <v>36501.700000000004</v>
      </c>
      <c r="K59" s="198"/>
      <c r="L59" s="99"/>
    </row>
    <row r="60" spans="1:12" ht="15.75" thickBot="1">
      <c r="A60" s="81"/>
      <c r="B60" s="165"/>
      <c r="C60" s="345"/>
      <c r="D60" s="346"/>
      <c r="E60" s="346"/>
      <c r="F60" s="346"/>
      <c r="G60" s="346"/>
      <c r="H60" s="347"/>
      <c r="I60" s="347"/>
      <c r="J60" s="146"/>
      <c r="K60" s="255"/>
      <c r="L60" s="99"/>
    </row>
    <row r="61" spans="1:12" ht="15.75" thickBot="1">
      <c r="A61" s="296">
        <v>6</v>
      </c>
      <c r="B61" s="297"/>
      <c r="C61" s="298"/>
      <c r="D61" s="341" t="s">
        <v>49</v>
      </c>
      <c r="E61" s="341"/>
      <c r="F61" s="341"/>
      <c r="G61" s="342"/>
      <c r="H61" s="296"/>
      <c r="I61" s="297"/>
      <c r="J61" s="298"/>
      <c r="K61" s="142"/>
      <c r="L61" s="99"/>
    </row>
    <row r="62" spans="1:12" ht="15">
      <c r="A62" s="82" t="s">
        <v>270</v>
      </c>
      <c r="B62" s="128"/>
      <c r="C62" s="116"/>
      <c r="D62" s="336" t="s">
        <v>50</v>
      </c>
      <c r="E62" s="337"/>
      <c r="F62" s="337"/>
      <c r="G62" s="337"/>
      <c r="H62" s="337"/>
      <c r="I62" s="337"/>
      <c r="J62" s="119"/>
      <c r="K62" s="142"/>
      <c r="L62" s="99"/>
    </row>
    <row r="63" spans="1:12" ht="36">
      <c r="A63" s="78" t="s">
        <v>271</v>
      </c>
      <c r="B63" s="216" t="s">
        <v>354</v>
      </c>
      <c r="C63" s="125">
        <v>71103</v>
      </c>
      <c r="D63" s="36" t="s">
        <v>180</v>
      </c>
      <c r="E63" s="34" t="s">
        <v>6</v>
      </c>
      <c r="F63" s="35">
        <f>'M Cálculo'!F58</f>
        <v>12</v>
      </c>
      <c r="G63" s="277">
        <v>102.29</v>
      </c>
      <c r="H63" s="277"/>
      <c r="I63" s="96">
        <f>ROUND(F63*G63,2)</f>
        <v>1227.48</v>
      </c>
      <c r="J63" s="96"/>
      <c r="K63" s="130"/>
      <c r="L63" s="94"/>
    </row>
    <row r="64" spans="1:12" ht="24">
      <c r="A64" s="78" t="s">
        <v>272</v>
      </c>
      <c r="B64" s="226" t="s">
        <v>354</v>
      </c>
      <c r="C64" s="77">
        <v>71706</v>
      </c>
      <c r="D64" s="260" t="s">
        <v>184</v>
      </c>
      <c r="E64" s="261" t="s">
        <v>166</v>
      </c>
      <c r="F64" s="39">
        <f>'M Cálculo'!F59</f>
        <v>24.86</v>
      </c>
      <c r="G64" s="131">
        <v>197.45</v>
      </c>
      <c r="H64" s="131"/>
      <c r="I64" s="139">
        <f>ROUND(F64*G64,2)</f>
        <v>4908.61</v>
      </c>
      <c r="J64" s="96"/>
      <c r="K64" s="130"/>
      <c r="L64" s="94"/>
    </row>
    <row r="65" spans="1:11" ht="15">
      <c r="A65" s="78" t="s">
        <v>346</v>
      </c>
      <c r="B65" s="216" t="s">
        <v>354</v>
      </c>
      <c r="C65" s="125">
        <v>71106</v>
      </c>
      <c r="D65" s="262" t="s">
        <v>185</v>
      </c>
      <c r="E65" s="34" t="s">
        <v>6</v>
      </c>
      <c r="F65" s="35">
        <f>'M Cálculo'!F60</f>
        <v>8.288</v>
      </c>
      <c r="G65" s="277">
        <v>529.43</v>
      </c>
      <c r="H65" s="277"/>
      <c r="I65" s="96">
        <f>ROUND(F65*G65,2)</f>
        <v>4387.92</v>
      </c>
      <c r="J65" s="96"/>
      <c r="K65" s="142"/>
    </row>
    <row r="66" spans="1:11" ht="15">
      <c r="A66" s="78" t="s">
        <v>484</v>
      </c>
      <c r="B66" s="216" t="s">
        <v>354</v>
      </c>
      <c r="C66" s="125">
        <v>71104</v>
      </c>
      <c r="D66" s="262" t="s">
        <v>475</v>
      </c>
      <c r="E66" s="34" t="s">
        <v>6</v>
      </c>
      <c r="F66" s="35">
        <f>'M Cálculo'!F61</f>
        <v>15</v>
      </c>
      <c r="G66" s="278">
        <v>446.67</v>
      </c>
      <c r="H66" s="278"/>
      <c r="I66" s="96">
        <f>ROUND(F66*G66,2)</f>
        <v>6700.05</v>
      </c>
      <c r="J66" s="96"/>
      <c r="K66" s="142"/>
    </row>
    <row r="67" spans="1:12" s="204" customFormat="1" ht="15">
      <c r="A67" s="82" t="s">
        <v>439</v>
      </c>
      <c r="B67" s="128"/>
      <c r="C67" s="116"/>
      <c r="D67" s="336" t="s">
        <v>51</v>
      </c>
      <c r="E67" s="337"/>
      <c r="F67" s="337"/>
      <c r="G67" s="337"/>
      <c r="H67" s="337"/>
      <c r="I67" s="337"/>
      <c r="J67" s="119"/>
      <c r="K67" s="130"/>
      <c r="L67" s="205"/>
    </row>
    <row r="68" spans="1:12" ht="24">
      <c r="A68" s="78" t="s">
        <v>440</v>
      </c>
      <c r="B68" s="216" t="s">
        <v>354</v>
      </c>
      <c r="C68" s="125">
        <v>71701</v>
      </c>
      <c r="D68" s="33" t="s">
        <v>179</v>
      </c>
      <c r="E68" s="34" t="s">
        <v>6</v>
      </c>
      <c r="F68" s="35">
        <f>'M Cálculo'!F63</f>
        <v>12</v>
      </c>
      <c r="G68" s="129">
        <v>447.61</v>
      </c>
      <c r="H68" s="129"/>
      <c r="I68" s="139">
        <f>ROUND(F68*G68,2)</f>
        <v>5371.32</v>
      </c>
      <c r="J68" s="96"/>
      <c r="K68" s="130"/>
      <c r="L68" s="94"/>
    </row>
    <row r="69" spans="1:12" ht="24">
      <c r="A69" s="78" t="s">
        <v>441</v>
      </c>
      <c r="B69" s="216" t="s">
        <v>354</v>
      </c>
      <c r="C69" s="263">
        <v>71702</v>
      </c>
      <c r="D69" s="33" t="s">
        <v>52</v>
      </c>
      <c r="E69" s="34" t="s">
        <v>6</v>
      </c>
      <c r="F69" s="35">
        <f>'M Cálculo'!F64</f>
        <v>7.300000000000001</v>
      </c>
      <c r="G69" s="129">
        <v>539.69</v>
      </c>
      <c r="H69" s="129"/>
      <c r="I69" s="139">
        <f>ROUND(F69*G69,2)</f>
        <v>3939.74</v>
      </c>
      <c r="J69" s="96"/>
      <c r="K69" s="130"/>
      <c r="L69" s="94"/>
    </row>
    <row r="70" spans="1:11" ht="24">
      <c r="A70" s="78" t="s">
        <v>442</v>
      </c>
      <c r="B70" s="216" t="s">
        <v>354</v>
      </c>
      <c r="C70" s="263">
        <v>71704</v>
      </c>
      <c r="D70" s="33" t="s">
        <v>53</v>
      </c>
      <c r="E70" s="34" t="s">
        <v>6</v>
      </c>
      <c r="F70" s="35">
        <f>'M Cálculo'!F65</f>
        <v>28.66</v>
      </c>
      <c r="G70" s="129">
        <v>711.59</v>
      </c>
      <c r="H70" s="129"/>
      <c r="I70" s="139">
        <f>ROUND(F70*G70,2)</f>
        <v>20394.17</v>
      </c>
      <c r="J70" s="96"/>
      <c r="K70" s="198"/>
    </row>
    <row r="71" spans="1:12" ht="15">
      <c r="A71" s="80"/>
      <c r="B71" s="167"/>
      <c r="C71" s="330" t="s">
        <v>614</v>
      </c>
      <c r="D71" s="331"/>
      <c r="E71" s="331"/>
      <c r="F71" s="331"/>
      <c r="G71" s="331"/>
      <c r="H71" s="331"/>
      <c r="I71" s="332"/>
      <c r="J71" s="89">
        <f>SUM(I63:I70)</f>
        <v>46929.29</v>
      </c>
      <c r="K71" s="200"/>
      <c r="L71" s="99"/>
    </row>
    <row r="72" spans="1:12" ht="15.75" thickBot="1">
      <c r="A72" s="81"/>
      <c r="B72" s="165"/>
      <c r="C72" s="333"/>
      <c r="D72" s="334"/>
      <c r="E72" s="334"/>
      <c r="F72" s="334"/>
      <c r="G72" s="334"/>
      <c r="H72" s="335"/>
      <c r="I72" s="335"/>
      <c r="J72" s="147"/>
      <c r="K72" s="142"/>
      <c r="L72" s="99"/>
    </row>
    <row r="73" spans="1:12" ht="15.75" thickBot="1">
      <c r="A73" s="296">
        <v>7</v>
      </c>
      <c r="B73" s="297"/>
      <c r="C73" s="298"/>
      <c r="D73" s="341" t="s">
        <v>214</v>
      </c>
      <c r="E73" s="341"/>
      <c r="F73" s="341"/>
      <c r="G73" s="342"/>
      <c r="H73" s="296"/>
      <c r="I73" s="297"/>
      <c r="J73" s="298"/>
      <c r="K73" s="248"/>
      <c r="L73" s="99"/>
    </row>
    <row r="74" spans="1:12" s="204" customFormat="1" ht="15">
      <c r="A74" s="82" t="s">
        <v>511</v>
      </c>
      <c r="B74" s="128"/>
      <c r="C74" s="98">
        <v>801</v>
      </c>
      <c r="D74" s="119" t="s">
        <v>274</v>
      </c>
      <c r="E74" s="119"/>
      <c r="F74" s="119"/>
      <c r="G74" s="136"/>
      <c r="H74" s="136"/>
      <c r="I74" s="136"/>
      <c r="J74" s="137"/>
      <c r="K74" s="130"/>
      <c r="L74" s="205"/>
    </row>
    <row r="75" spans="1:11" ht="15">
      <c r="A75" s="78" t="s">
        <v>512</v>
      </c>
      <c r="B75" s="216" t="s">
        <v>354</v>
      </c>
      <c r="C75" s="77">
        <v>80102</v>
      </c>
      <c r="D75" s="36" t="s">
        <v>186</v>
      </c>
      <c r="E75" s="34" t="s">
        <v>6</v>
      </c>
      <c r="F75" s="35">
        <f>'M Cálculo'!F69</f>
        <v>19.3</v>
      </c>
      <c r="G75" s="129">
        <v>129.51</v>
      </c>
      <c r="H75" s="129"/>
      <c r="I75" s="139">
        <f>ROUND(F75*G75,2)</f>
        <v>2499.54</v>
      </c>
      <c r="J75" s="96"/>
      <c r="K75" s="142"/>
    </row>
    <row r="76" spans="1:12" ht="15">
      <c r="A76" s="82" t="s">
        <v>513</v>
      </c>
      <c r="B76" s="128"/>
      <c r="C76" s="116">
        <v>802</v>
      </c>
      <c r="D76" s="336" t="s">
        <v>56</v>
      </c>
      <c r="E76" s="337"/>
      <c r="F76" s="337"/>
      <c r="G76" s="337"/>
      <c r="H76" s="337"/>
      <c r="I76" s="337"/>
      <c r="J76" s="119"/>
      <c r="K76" s="130"/>
      <c r="L76" s="190"/>
    </row>
    <row r="77" spans="1:11" ht="24">
      <c r="A77" s="78" t="s">
        <v>514</v>
      </c>
      <c r="B77" s="216" t="s">
        <v>354</v>
      </c>
      <c r="C77" s="125">
        <v>80201</v>
      </c>
      <c r="D77" s="33" t="s">
        <v>421</v>
      </c>
      <c r="E77" s="34" t="s">
        <v>6</v>
      </c>
      <c r="F77" s="35">
        <f>'M Cálculo'!F71</f>
        <v>4.57</v>
      </c>
      <c r="G77" s="129">
        <v>489.42</v>
      </c>
      <c r="H77" s="129"/>
      <c r="I77" s="139">
        <f>ROUND(F77*G77,2)</f>
        <v>2236.65</v>
      </c>
      <c r="J77" s="96"/>
      <c r="K77" s="198"/>
    </row>
    <row r="78" spans="1:12" ht="15">
      <c r="A78" s="80"/>
      <c r="B78" s="167"/>
      <c r="C78" s="330" t="s">
        <v>54</v>
      </c>
      <c r="D78" s="331"/>
      <c r="E78" s="331"/>
      <c r="F78" s="331"/>
      <c r="G78" s="331"/>
      <c r="H78" s="331"/>
      <c r="I78" s="332"/>
      <c r="J78" s="89">
        <f>SUM(I75:I77)</f>
        <v>4736.1900000000005</v>
      </c>
      <c r="K78" s="249"/>
      <c r="L78" s="99"/>
    </row>
    <row r="79" spans="1:12" ht="15.75" thickBot="1">
      <c r="A79" s="81"/>
      <c r="B79" s="165"/>
      <c r="C79" s="395"/>
      <c r="D79" s="396"/>
      <c r="E79" s="396"/>
      <c r="F79" s="396"/>
      <c r="G79" s="396"/>
      <c r="H79" s="397"/>
      <c r="I79" s="397"/>
      <c r="J79" s="148"/>
      <c r="K79" s="142"/>
      <c r="L79" s="99"/>
    </row>
    <row r="80" spans="1:12" ht="15.75" thickBot="1">
      <c r="A80" s="296">
        <v>8</v>
      </c>
      <c r="B80" s="297"/>
      <c r="C80" s="298"/>
      <c r="D80" s="341" t="s">
        <v>58</v>
      </c>
      <c r="E80" s="341"/>
      <c r="F80" s="341"/>
      <c r="G80" s="342"/>
      <c r="H80" s="296"/>
      <c r="I80" s="297"/>
      <c r="J80" s="298"/>
      <c r="K80" s="142"/>
      <c r="L80" s="99"/>
    </row>
    <row r="81" spans="1:12" s="204" customFormat="1" ht="15">
      <c r="A81" s="82" t="s">
        <v>273</v>
      </c>
      <c r="B81" s="128"/>
      <c r="C81" s="76">
        <v>901</v>
      </c>
      <c r="D81" s="336" t="s">
        <v>59</v>
      </c>
      <c r="E81" s="337"/>
      <c r="F81" s="337"/>
      <c r="G81" s="337"/>
      <c r="H81" s="337"/>
      <c r="I81" s="337"/>
      <c r="J81" s="119"/>
      <c r="K81" s="130"/>
      <c r="L81" s="203"/>
    </row>
    <row r="82" spans="1:11" ht="36">
      <c r="A82" s="78" t="s">
        <v>275</v>
      </c>
      <c r="B82" s="216" t="s">
        <v>355</v>
      </c>
      <c r="C82" s="125">
        <v>92580</v>
      </c>
      <c r="D82" s="33" t="s">
        <v>644</v>
      </c>
      <c r="E82" s="34" t="s">
        <v>6</v>
      </c>
      <c r="F82" s="35">
        <f>'M Cálculo'!F75</f>
        <v>289.86</v>
      </c>
      <c r="G82" s="129">
        <v>30.34</v>
      </c>
      <c r="H82" s="129">
        <f>G82*1.309</f>
        <v>39.71506</v>
      </c>
      <c r="I82" s="139">
        <f>ROUND(F82*H82,2)</f>
        <v>11511.81</v>
      </c>
      <c r="J82" s="96"/>
      <c r="K82" s="130"/>
    </row>
    <row r="83" spans="1:12" s="204" customFormat="1" ht="15">
      <c r="A83" s="82" t="s">
        <v>276</v>
      </c>
      <c r="B83" s="128"/>
      <c r="C83" s="76">
        <v>902</v>
      </c>
      <c r="D83" s="132" t="s">
        <v>60</v>
      </c>
      <c r="E83" s="3"/>
      <c r="F83" s="4"/>
      <c r="G83" s="133"/>
      <c r="H83" s="133"/>
      <c r="I83" s="144"/>
      <c r="J83" s="134"/>
      <c r="K83" s="130"/>
      <c r="L83" s="203"/>
    </row>
    <row r="84" spans="1:11" ht="36">
      <c r="A84" s="78" t="s">
        <v>277</v>
      </c>
      <c r="B84" s="216" t="s">
        <v>354</v>
      </c>
      <c r="C84" s="77">
        <v>90223</v>
      </c>
      <c r="D84" s="33" t="s">
        <v>643</v>
      </c>
      <c r="E84" s="34" t="s">
        <v>6</v>
      </c>
      <c r="F84" s="35">
        <f>'M Cálculo'!F77</f>
        <v>289.86</v>
      </c>
      <c r="G84" s="129">
        <v>177.43</v>
      </c>
      <c r="H84" s="129"/>
      <c r="I84" s="139">
        <f>ROUND(F84*G84,2)</f>
        <v>51429.86</v>
      </c>
      <c r="J84" s="96"/>
      <c r="K84" s="142"/>
    </row>
    <row r="85" spans="1:12" ht="15">
      <c r="A85" s="82" t="s">
        <v>515</v>
      </c>
      <c r="B85" s="128"/>
      <c r="C85" s="76" t="s">
        <v>61</v>
      </c>
      <c r="D85" s="336" t="s">
        <v>62</v>
      </c>
      <c r="E85" s="337"/>
      <c r="F85" s="337"/>
      <c r="G85" s="337"/>
      <c r="H85" s="337"/>
      <c r="I85" s="337"/>
      <c r="J85" s="119"/>
      <c r="K85" s="130"/>
      <c r="L85" s="99"/>
    </row>
    <row r="86" spans="1:12" s="204" customFormat="1" ht="15">
      <c r="A86" s="84" t="s">
        <v>516</v>
      </c>
      <c r="B86" s="163" t="s">
        <v>354</v>
      </c>
      <c r="C86" s="123">
        <v>90314</v>
      </c>
      <c r="D86" s="86" t="s">
        <v>423</v>
      </c>
      <c r="E86" s="87" t="s">
        <v>13</v>
      </c>
      <c r="F86" s="88">
        <f>'M Cálculo'!F79</f>
        <v>29.41</v>
      </c>
      <c r="G86" s="138">
        <v>37.28</v>
      </c>
      <c r="H86" s="138"/>
      <c r="I86" s="140">
        <f>ROUND(F86*G86,2)</f>
        <v>1096.4</v>
      </c>
      <c r="J86" s="97"/>
      <c r="K86" s="130"/>
      <c r="L86" s="203"/>
    </row>
    <row r="87" spans="1:11" ht="15">
      <c r="A87" s="84" t="s">
        <v>517</v>
      </c>
      <c r="B87" s="216" t="s">
        <v>354</v>
      </c>
      <c r="C87" s="77">
        <v>90312</v>
      </c>
      <c r="D87" s="33" t="s">
        <v>422</v>
      </c>
      <c r="E87" s="34" t="s">
        <v>13</v>
      </c>
      <c r="F87" s="35">
        <f>'M Cálculo'!F80</f>
        <v>32.95</v>
      </c>
      <c r="G87" s="129">
        <v>109.89</v>
      </c>
      <c r="H87" s="129"/>
      <c r="I87" s="139">
        <f>ROUND(F87*G87,2)</f>
        <v>3620.88</v>
      </c>
      <c r="J87" s="96"/>
      <c r="K87" s="142"/>
    </row>
    <row r="88" spans="1:12" ht="15">
      <c r="A88" s="108"/>
      <c r="B88" s="164"/>
      <c r="C88" s="391" t="s">
        <v>57</v>
      </c>
      <c r="D88" s="343"/>
      <c r="E88" s="343"/>
      <c r="F88" s="343"/>
      <c r="G88" s="343"/>
      <c r="H88" s="343"/>
      <c r="I88" s="344"/>
      <c r="J88" s="120">
        <f>SUM(I82:I87)</f>
        <v>67658.95</v>
      </c>
      <c r="K88" s="280"/>
      <c r="L88" s="99"/>
    </row>
    <row r="89" spans="1:12" ht="15.75" thickBot="1">
      <c r="A89" s="81"/>
      <c r="B89" s="165"/>
      <c r="C89" s="398"/>
      <c r="D89" s="399"/>
      <c r="E89" s="399"/>
      <c r="F89" s="399"/>
      <c r="G89" s="399"/>
      <c r="H89" s="400"/>
      <c r="I89" s="400"/>
      <c r="J89" s="149"/>
      <c r="K89" s="142"/>
      <c r="L89" s="99"/>
    </row>
    <row r="90" spans="1:12" ht="15.75" thickBot="1">
      <c r="A90" s="296">
        <v>9</v>
      </c>
      <c r="B90" s="297"/>
      <c r="C90" s="298"/>
      <c r="D90" s="341" t="s">
        <v>64</v>
      </c>
      <c r="E90" s="341"/>
      <c r="F90" s="341"/>
      <c r="G90" s="342"/>
      <c r="H90" s="296"/>
      <c r="I90" s="297"/>
      <c r="J90" s="298"/>
      <c r="K90" s="142"/>
      <c r="L90" s="99"/>
    </row>
    <row r="91" spans="1:12" s="204" customFormat="1" ht="15">
      <c r="A91" s="82" t="s">
        <v>278</v>
      </c>
      <c r="B91" s="128"/>
      <c r="C91" s="76" t="s">
        <v>65</v>
      </c>
      <c r="D91" s="336" t="s">
        <v>66</v>
      </c>
      <c r="E91" s="337"/>
      <c r="F91" s="337"/>
      <c r="G91" s="337"/>
      <c r="H91" s="337"/>
      <c r="I91" s="337"/>
      <c r="J91" s="119"/>
      <c r="K91" s="130"/>
      <c r="L91" s="203"/>
    </row>
    <row r="92" spans="1:11" ht="15" customHeight="1">
      <c r="A92" s="78" t="s">
        <v>279</v>
      </c>
      <c r="B92" s="216" t="s">
        <v>354</v>
      </c>
      <c r="C92" s="125">
        <v>100203</v>
      </c>
      <c r="D92" s="33" t="s">
        <v>67</v>
      </c>
      <c r="E92" s="34" t="s">
        <v>6</v>
      </c>
      <c r="F92" s="35">
        <f>'M Cálculo'!F84</f>
        <v>127.07</v>
      </c>
      <c r="G92" s="129">
        <v>40.17</v>
      </c>
      <c r="H92" s="129"/>
      <c r="I92" s="139">
        <f>ROUND(F92*G92,2)</f>
        <v>5104.4</v>
      </c>
      <c r="J92" s="281"/>
      <c r="K92" s="198"/>
    </row>
    <row r="93" spans="1:12" ht="15">
      <c r="A93" s="108"/>
      <c r="B93" s="164"/>
      <c r="C93" s="338" t="s">
        <v>63</v>
      </c>
      <c r="D93" s="339"/>
      <c r="E93" s="339"/>
      <c r="F93" s="339"/>
      <c r="G93" s="339"/>
      <c r="H93" s="339"/>
      <c r="I93" s="340"/>
      <c r="J93" s="120">
        <f>SUM(I91:I92)</f>
        <v>5104.4</v>
      </c>
      <c r="K93" s="200"/>
      <c r="L93" s="99"/>
    </row>
    <row r="94" spans="1:12" ht="15.75" thickBot="1">
      <c r="A94" s="81"/>
      <c r="B94" s="165"/>
      <c r="C94" s="333"/>
      <c r="D94" s="334"/>
      <c r="E94" s="334"/>
      <c r="F94" s="334"/>
      <c r="G94" s="334"/>
      <c r="H94" s="335"/>
      <c r="I94" s="335"/>
      <c r="J94" s="147"/>
      <c r="K94" s="250"/>
      <c r="L94" s="99"/>
    </row>
    <row r="95" spans="1:12" ht="15.75" thickBot="1">
      <c r="A95" s="296">
        <v>10</v>
      </c>
      <c r="B95" s="297"/>
      <c r="C95" s="298"/>
      <c r="D95" s="341" t="s">
        <v>69</v>
      </c>
      <c r="E95" s="341"/>
      <c r="F95" s="341"/>
      <c r="G95" s="342"/>
      <c r="H95" s="296"/>
      <c r="I95" s="297"/>
      <c r="J95" s="298"/>
      <c r="K95" s="130"/>
      <c r="L95" s="99"/>
    </row>
    <row r="96" spans="1:12" ht="15">
      <c r="A96" s="82" t="s">
        <v>518</v>
      </c>
      <c r="B96" s="128"/>
      <c r="C96" s="135" t="s">
        <v>347</v>
      </c>
      <c r="D96" s="132" t="s">
        <v>71</v>
      </c>
      <c r="E96" s="3"/>
      <c r="F96" s="4"/>
      <c r="G96" s="151"/>
      <c r="H96" s="151"/>
      <c r="I96" s="144"/>
      <c r="J96" s="134"/>
      <c r="K96" s="130"/>
      <c r="L96" s="99"/>
    </row>
    <row r="97" spans="1:11" ht="15" customHeight="1">
      <c r="A97" s="78" t="s">
        <v>519</v>
      </c>
      <c r="B97" s="216" t="s">
        <v>354</v>
      </c>
      <c r="C97" s="125">
        <v>110201</v>
      </c>
      <c r="D97" s="33" t="s">
        <v>72</v>
      </c>
      <c r="E97" s="34" t="s">
        <v>6</v>
      </c>
      <c r="F97" s="35">
        <f>'M Cálculo'!F88</f>
        <v>235.46999999999997</v>
      </c>
      <c r="G97" s="129">
        <v>35.06</v>
      </c>
      <c r="H97" s="129"/>
      <c r="I97" s="139">
        <f>ROUND(F97*G97,2)</f>
        <v>8255.58</v>
      </c>
      <c r="J97" s="96"/>
      <c r="K97" s="198"/>
    </row>
    <row r="98" spans="1:12" ht="15">
      <c r="A98" s="108"/>
      <c r="B98" s="164"/>
      <c r="C98" s="338" t="s">
        <v>68</v>
      </c>
      <c r="D98" s="339"/>
      <c r="E98" s="339"/>
      <c r="F98" s="339"/>
      <c r="G98" s="339"/>
      <c r="H98" s="339"/>
      <c r="I98" s="340"/>
      <c r="J98" s="120">
        <f>I97</f>
        <v>8255.58</v>
      </c>
      <c r="K98" s="200"/>
      <c r="L98" s="99"/>
    </row>
    <row r="99" spans="1:12" ht="15.75" thickBot="1">
      <c r="A99" s="81"/>
      <c r="B99" s="165"/>
      <c r="C99" s="333"/>
      <c r="D99" s="334"/>
      <c r="E99" s="334"/>
      <c r="F99" s="334"/>
      <c r="G99" s="334"/>
      <c r="H99" s="335"/>
      <c r="I99" s="335"/>
      <c r="J99" s="147"/>
      <c r="K99" s="142"/>
      <c r="L99" s="99"/>
    </row>
    <row r="100" spans="1:12" ht="15.75" thickBot="1">
      <c r="A100" s="296">
        <v>11</v>
      </c>
      <c r="B100" s="297"/>
      <c r="C100" s="298"/>
      <c r="D100" s="341" t="s">
        <v>74</v>
      </c>
      <c r="E100" s="341"/>
      <c r="F100" s="341"/>
      <c r="G100" s="342"/>
      <c r="H100" s="296"/>
      <c r="I100" s="297"/>
      <c r="J100" s="298"/>
      <c r="K100" s="142"/>
      <c r="L100" s="99"/>
    </row>
    <row r="101" spans="1:12" ht="15">
      <c r="A101" s="82" t="s">
        <v>280</v>
      </c>
      <c r="B101" s="128"/>
      <c r="C101" s="76" t="s">
        <v>75</v>
      </c>
      <c r="D101" s="336" t="s">
        <v>70</v>
      </c>
      <c r="E101" s="337"/>
      <c r="F101" s="337"/>
      <c r="G101" s="337"/>
      <c r="H101" s="337"/>
      <c r="I101" s="337"/>
      <c r="J101" s="119"/>
      <c r="K101" s="130"/>
      <c r="L101" s="99"/>
    </row>
    <row r="102" spans="1:12" ht="24">
      <c r="A102" s="84" t="s">
        <v>281</v>
      </c>
      <c r="B102" s="163" t="s">
        <v>354</v>
      </c>
      <c r="C102" s="126">
        <v>120101</v>
      </c>
      <c r="D102" s="90" t="s">
        <v>76</v>
      </c>
      <c r="E102" s="87" t="s">
        <v>6</v>
      </c>
      <c r="F102" s="88">
        <f>'M Cálculo'!F92</f>
        <v>642.7200000000001</v>
      </c>
      <c r="G102" s="138">
        <v>5.64</v>
      </c>
      <c r="H102" s="138"/>
      <c r="I102" s="140">
        <f>ROUND(F102*G102,2)</f>
        <v>3624.94</v>
      </c>
      <c r="J102" s="97"/>
      <c r="K102" s="142"/>
      <c r="L102" s="99"/>
    </row>
    <row r="103" spans="1:12" ht="15">
      <c r="A103" s="82" t="s">
        <v>520</v>
      </c>
      <c r="B103" s="128"/>
      <c r="C103" s="76" t="s">
        <v>77</v>
      </c>
      <c r="D103" s="336" t="s">
        <v>78</v>
      </c>
      <c r="E103" s="337"/>
      <c r="F103" s="337"/>
      <c r="G103" s="337"/>
      <c r="H103" s="337"/>
      <c r="I103" s="337"/>
      <c r="J103" s="119"/>
      <c r="K103" s="130"/>
      <c r="L103" s="99"/>
    </row>
    <row r="104" spans="1:12" ht="36">
      <c r="A104" s="84" t="s">
        <v>521</v>
      </c>
      <c r="B104" s="163" t="s">
        <v>354</v>
      </c>
      <c r="C104" s="126">
        <v>120236</v>
      </c>
      <c r="D104" s="86" t="s">
        <v>79</v>
      </c>
      <c r="E104" s="87" t="s">
        <v>6</v>
      </c>
      <c r="F104" s="88">
        <f>'M Cálculo'!F94</f>
        <v>338.22</v>
      </c>
      <c r="G104" s="138">
        <v>62.79</v>
      </c>
      <c r="H104" s="138"/>
      <c r="I104" s="140">
        <f>ROUND(F104*G104,2)</f>
        <v>21236.83</v>
      </c>
      <c r="J104" s="97"/>
      <c r="K104" s="142"/>
      <c r="L104" s="99"/>
    </row>
    <row r="105" spans="1:12" ht="15">
      <c r="A105" s="82" t="s">
        <v>522</v>
      </c>
      <c r="B105" s="128"/>
      <c r="C105" s="76" t="s">
        <v>80</v>
      </c>
      <c r="D105" s="336" t="s">
        <v>81</v>
      </c>
      <c r="E105" s="337"/>
      <c r="F105" s="337"/>
      <c r="G105" s="337"/>
      <c r="H105" s="337"/>
      <c r="I105" s="337"/>
      <c r="J105" s="119"/>
      <c r="K105" s="130"/>
      <c r="L105" s="99"/>
    </row>
    <row r="106" spans="1:12" ht="24">
      <c r="A106" s="84" t="s">
        <v>523</v>
      </c>
      <c r="B106" s="163" t="s">
        <v>354</v>
      </c>
      <c r="C106" s="126">
        <v>120303</v>
      </c>
      <c r="D106" s="90" t="s">
        <v>82</v>
      </c>
      <c r="E106" s="87" t="s">
        <v>6</v>
      </c>
      <c r="F106" s="88">
        <f>'M Cálculo'!F96</f>
        <v>642.7200000000001</v>
      </c>
      <c r="G106" s="138">
        <v>47.5</v>
      </c>
      <c r="H106" s="138"/>
      <c r="I106" s="140">
        <f>ROUND(F106*G106,2)</f>
        <v>30529.2</v>
      </c>
      <c r="J106" s="97"/>
      <c r="K106" s="198"/>
      <c r="L106" s="99"/>
    </row>
    <row r="107" spans="1:12" ht="15">
      <c r="A107" s="108"/>
      <c r="B107" s="164"/>
      <c r="C107" s="338" t="s">
        <v>73</v>
      </c>
      <c r="D107" s="339"/>
      <c r="E107" s="339"/>
      <c r="F107" s="339"/>
      <c r="G107" s="339"/>
      <c r="H107" s="339"/>
      <c r="I107" s="340"/>
      <c r="J107" s="120">
        <f>SUM(I102:I106)</f>
        <v>55390.97</v>
      </c>
      <c r="K107" s="249"/>
      <c r="L107" s="99"/>
    </row>
    <row r="108" spans="1:12" ht="15.75" thickBot="1">
      <c r="A108" s="81"/>
      <c r="B108" s="165"/>
      <c r="C108" s="395"/>
      <c r="D108" s="396"/>
      <c r="E108" s="396"/>
      <c r="F108" s="396"/>
      <c r="G108" s="396"/>
      <c r="H108" s="397"/>
      <c r="I108" s="397"/>
      <c r="J108" s="148"/>
      <c r="K108" s="142"/>
      <c r="L108" s="99"/>
    </row>
    <row r="109" spans="1:12" ht="15.75" thickBot="1">
      <c r="A109" s="296">
        <v>12</v>
      </c>
      <c r="B109" s="297"/>
      <c r="C109" s="298"/>
      <c r="D109" s="341" t="s">
        <v>84</v>
      </c>
      <c r="E109" s="341"/>
      <c r="F109" s="341"/>
      <c r="G109" s="342"/>
      <c r="H109" s="296"/>
      <c r="I109" s="297"/>
      <c r="J109" s="298"/>
      <c r="K109" s="142"/>
      <c r="L109" s="99"/>
    </row>
    <row r="110" spans="1:12" ht="15">
      <c r="A110" s="102" t="s">
        <v>282</v>
      </c>
      <c r="B110" s="166"/>
      <c r="C110" s="103"/>
      <c r="D110" s="328" t="s">
        <v>358</v>
      </c>
      <c r="E110" s="329"/>
      <c r="F110" s="329"/>
      <c r="G110" s="329"/>
      <c r="H110" s="329"/>
      <c r="I110" s="329"/>
      <c r="J110" s="153"/>
      <c r="K110" s="197"/>
      <c r="L110" s="99"/>
    </row>
    <row r="111" spans="1:12" ht="15">
      <c r="A111" s="78" t="s">
        <v>283</v>
      </c>
      <c r="B111" s="163" t="s">
        <v>354</v>
      </c>
      <c r="C111" s="125">
        <v>130109</v>
      </c>
      <c r="D111" s="33" t="s">
        <v>85</v>
      </c>
      <c r="E111" s="34" t="s">
        <v>6</v>
      </c>
      <c r="F111" s="35">
        <f>'M Cálculo'!F100</f>
        <v>247.88999999999996</v>
      </c>
      <c r="G111" s="138">
        <v>63.15</v>
      </c>
      <c r="H111" s="138"/>
      <c r="I111" s="138">
        <f>F111*G111</f>
        <v>15654.253499999997</v>
      </c>
      <c r="J111" s="287"/>
      <c r="K111" s="130"/>
      <c r="L111" s="99"/>
    </row>
    <row r="112" spans="1:12" ht="36">
      <c r="A112" s="78" t="s">
        <v>524</v>
      </c>
      <c r="B112" s="127" t="s">
        <v>355</v>
      </c>
      <c r="C112" s="126">
        <v>87620</v>
      </c>
      <c r="D112" s="86" t="s">
        <v>356</v>
      </c>
      <c r="E112" s="87" t="s">
        <v>6</v>
      </c>
      <c r="F112" s="35">
        <f>'M Cálculo'!F101</f>
        <v>247.88999999999996</v>
      </c>
      <c r="G112" s="138">
        <v>20.41</v>
      </c>
      <c r="H112" s="138">
        <f>G112*1.309</f>
        <v>26.71669</v>
      </c>
      <c r="I112" s="140">
        <f>ROUND(F112*H112,2)</f>
        <v>6622.8</v>
      </c>
      <c r="J112" s="97"/>
      <c r="K112" s="142"/>
      <c r="L112" s="99"/>
    </row>
    <row r="113" spans="1:12" ht="15">
      <c r="A113" s="102" t="s">
        <v>284</v>
      </c>
      <c r="B113" s="166"/>
      <c r="C113" s="103" t="s">
        <v>86</v>
      </c>
      <c r="D113" s="328" t="s">
        <v>78</v>
      </c>
      <c r="E113" s="329"/>
      <c r="F113" s="329"/>
      <c r="G113" s="329"/>
      <c r="H113" s="329"/>
      <c r="I113" s="329"/>
      <c r="J113" s="118"/>
      <c r="K113" s="130"/>
      <c r="L113" s="99"/>
    </row>
    <row r="114" spans="1:11" ht="24">
      <c r="A114" s="78" t="s">
        <v>285</v>
      </c>
      <c r="B114" s="216" t="s">
        <v>354</v>
      </c>
      <c r="C114" s="125">
        <v>130209</v>
      </c>
      <c r="D114" s="33" t="s">
        <v>357</v>
      </c>
      <c r="E114" s="34" t="s">
        <v>6</v>
      </c>
      <c r="F114" s="35">
        <f>'M Cálculo'!F103</f>
        <v>340.997</v>
      </c>
      <c r="G114" s="129">
        <v>73.93</v>
      </c>
      <c r="H114" s="129"/>
      <c r="I114" s="139">
        <f>ROUND(F114*G114,2)</f>
        <v>25209.91</v>
      </c>
      <c r="J114" s="96"/>
      <c r="K114" s="130"/>
    </row>
    <row r="115" spans="1:11" ht="24">
      <c r="A115" s="78" t="s">
        <v>525</v>
      </c>
      <c r="B115" s="216" t="s">
        <v>354</v>
      </c>
      <c r="C115" s="125">
        <v>130219</v>
      </c>
      <c r="D115" s="33" t="s">
        <v>87</v>
      </c>
      <c r="E115" s="34" t="s">
        <v>6</v>
      </c>
      <c r="F115" s="35">
        <f>'M Cálculo'!F104</f>
        <v>247.88999999999996</v>
      </c>
      <c r="G115" s="129">
        <v>66.68</v>
      </c>
      <c r="H115" s="129"/>
      <c r="I115" s="139">
        <f>ROUND(F115*G115,2)</f>
        <v>16529.31</v>
      </c>
      <c r="J115" s="96"/>
      <c r="K115" s="142"/>
    </row>
    <row r="116" spans="1:12" ht="22.5" customHeight="1">
      <c r="A116" s="102" t="s">
        <v>286</v>
      </c>
      <c r="B116" s="166"/>
      <c r="C116" s="103" t="s">
        <v>88</v>
      </c>
      <c r="D116" s="328" t="s">
        <v>89</v>
      </c>
      <c r="E116" s="329"/>
      <c r="F116" s="329"/>
      <c r="G116" s="329"/>
      <c r="H116" s="329"/>
      <c r="I116" s="329"/>
      <c r="J116" s="118"/>
      <c r="K116" s="130"/>
      <c r="L116" s="99"/>
    </row>
    <row r="117" spans="1:11" ht="24.75" customHeight="1">
      <c r="A117" s="78" t="s">
        <v>526</v>
      </c>
      <c r="B117" s="216" t="s">
        <v>354</v>
      </c>
      <c r="C117" s="77">
        <v>130308</v>
      </c>
      <c r="D117" s="260" t="s">
        <v>90</v>
      </c>
      <c r="E117" s="34" t="s">
        <v>13</v>
      </c>
      <c r="F117" s="35">
        <f>'M Cálculo'!F106</f>
        <v>16.6</v>
      </c>
      <c r="G117" s="129">
        <v>51.8</v>
      </c>
      <c r="H117" s="129"/>
      <c r="I117" s="139">
        <f>ROUND(F117*G117,2)</f>
        <v>859.88</v>
      </c>
      <c r="J117" s="96"/>
      <c r="K117" s="130"/>
    </row>
    <row r="118" spans="1:12" ht="15">
      <c r="A118" s="108"/>
      <c r="B118" s="164"/>
      <c r="C118" s="338" t="s">
        <v>83</v>
      </c>
      <c r="D118" s="339"/>
      <c r="E118" s="339"/>
      <c r="F118" s="339"/>
      <c r="G118" s="339"/>
      <c r="H118" s="339"/>
      <c r="I118" s="340"/>
      <c r="J118" s="120">
        <f>SUM(I111:I117)</f>
        <v>64876.15349999999</v>
      </c>
      <c r="K118" s="200"/>
      <c r="L118" s="99"/>
    </row>
    <row r="119" spans="1:12" ht="15.75" thickBot="1">
      <c r="A119" s="81"/>
      <c r="B119" s="165"/>
      <c r="C119" s="333"/>
      <c r="D119" s="334"/>
      <c r="E119" s="334"/>
      <c r="F119" s="334"/>
      <c r="G119" s="334"/>
      <c r="H119" s="335"/>
      <c r="I119" s="335"/>
      <c r="J119" s="147"/>
      <c r="K119" s="142"/>
      <c r="L119" s="99"/>
    </row>
    <row r="120" spans="1:12" ht="15.75" thickBot="1">
      <c r="A120" s="296">
        <v>13</v>
      </c>
      <c r="B120" s="297"/>
      <c r="C120" s="298"/>
      <c r="D120" s="341" t="s">
        <v>92</v>
      </c>
      <c r="E120" s="341"/>
      <c r="F120" s="341"/>
      <c r="G120" s="342"/>
      <c r="H120" s="296"/>
      <c r="I120" s="297"/>
      <c r="J120" s="298"/>
      <c r="K120" s="142"/>
      <c r="L120" s="99"/>
    </row>
    <row r="121" spans="1:12" ht="15">
      <c r="A121" s="102" t="s">
        <v>287</v>
      </c>
      <c r="B121" s="166"/>
      <c r="C121" s="104">
        <v>1402</v>
      </c>
      <c r="D121" s="328" t="s">
        <v>93</v>
      </c>
      <c r="E121" s="329"/>
      <c r="F121" s="329"/>
      <c r="G121" s="329"/>
      <c r="H121" s="329"/>
      <c r="I121" s="329"/>
      <c r="J121" s="118"/>
      <c r="K121" s="130"/>
      <c r="L121" s="99"/>
    </row>
    <row r="122" spans="1:12" ht="36">
      <c r="A122" s="84" t="s">
        <v>288</v>
      </c>
      <c r="B122" s="163" t="s">
        <v>354</v>
      </c>
      <c r="C122" s="85">
        <v>140207</v>
      </c>
      <c r="D122" s="86" t="s">
        <v>94</v>
      </c>
      <c r="E122" s="87" t="s">
        <v>4</v>
      </c>
      <c r="F122" s="88">
        <f>'M Cálculo'!F110</f>
        <v>1</v>
      </c>
      <c r="G122" s="138">
        <v>373.51</v>
      </c>
      <c r="H122" s="138"/>
      <c r="I122" s="140">
        <f>ROUND(F122*G122,2)</f>
        <v>373.51</v>
      </c>
      <c r="J122" s="97"/>
      <c r="K122" s="130"/>
      <c r="L122" s="99"/>
    </row>
    <row r="123" spans="1:12" ht="36">
      <c r="A123" s="84" t="s">
        <v>289</v>
      </c>
      <c r="B123" s="163" t="s">
        <v>354</v>
      </c>
      <c r="C123" s="85">
        <v>140209</v>
      </c>
      <c r="D123" s="86" t="s">
        <v>95</v>
      </c>
      <c r="E123" s="87" t="s">
        <v>4</v>
      </c>
      <c r="F123" s="88">
        <f>'M Cálculo'!F111</f>
        <v>1</v>
      </c>
      <c r="G123" s="138">
        <v>224.73</v>
      </c>
      <c r="H123" s="138"/>
      <c r="I123" s="140">
        <f>ROUND(F123*G123,2)</f>
        <v>224.73</v>
      </c>
      <c r="J123" s="97"/>
      <c r="K123" s="142"/>
      <c r="L123" s="99"/>
    </row>
    <row r="124" spans="1:12" s="204" customFormat="1" ht="15">
      <c r="A124" s="102" t="s">
        <v>290</v>
      </c>
      <c r="B124" s="166"/>
      <c r="C124" s="104">
        <v>1407</v>
      </c>
      <c r="D124" s="328" t="s">
        <v>96</v>
      </c>
      <c r="E124" s="329"/>
      <c r="F124" s="329"/>
      <c r="G124" s="329"/>
      <c r="H124" s="329"/>
      <c r="I124" s="329"/>
      <c r="J124" s="118"/>
      <c r="K124" s="130"/>
      <c r="L124" s="203"/>
    </row>
    <row r="125" spans="1:11" ht="24">
      <c r="A125" s="78" t="s">
        <v>291</v>
      </c>
      <c r="B125" s="216" t="s">
        <v>354</v>
      </c>
      <c r="C125" s="77">
        <v>140707</v>
      </c>
      <c r="D125" s="33" t="s">
        <v>98</v>
      </c>
      <c r="E125" s="34" t="s">
        <v>97</v>
      </c>
      <c r="F125" s="35">
        <v>7</v>
      </c>
      <c r="G125" s="129">
        <v>135.85</v>
      </c>
      <c r="H125" s="129"/>
      <c r="I125" s="139">
        <f>ROUND(F125*G125,2)</f>
        <v>950.95</v>
      </c>
      <c r="J125" s="96"/>
      <c r="K125" s="130"/>
    </row>
    <row r="126" spans="1:11" ht="15">
      <c r="A126" s="78" t="s">
        <v>292</v>
      </c>
      <c r="B126" s="216" t="s">
        <v>354</v>
      </c>
      <c r="C126" s="77">
        <v>140708</v>
      </c>
      <c r="D126" s="33" t="s">
        <v>352</v>
      </c>
      <c r="E126" s="34" t="s">
        <v>4</v>
      </c>
      <c r="F126" s="35">
        <v>3</v>
      </c>
      <c r="G126" s="129">
        <v>72.19</v>
      </c>
      <c r="H126" s="129"/>
      <c r="I126" s="139">
        <f>ROUND(F126*G126,2)</f>
        <v>216.57</v>
      </c>
      <c r="J126" s="96"/>
      <c r="K126" s="130"/>
    </row>
    <row r="127" spans="1:12" s="204" customFormat="1" ht="15">
      <c r="A127" s="102" t="s">
        <v>293</v>
      </c>
      <c r="B127" s="166"/>
      <c r="C127" s="104">
        <v>1411</v>
      </c>
      <c r="D127" s="328" t="s">
        <v>99</v>
      </c>
      <c r="E127" s="329"/>
      <c r="F127" s="329"/>
      <c r="G127" s="329"/>
      <c r="H127" s="329"/>
      <c r="I127" s="329"/>
      <c r="J127" s="118"/>
      <c r="K127" s="130"/>
      <c r="L127" s="203"/>
    </row>
    <row r="128" spans="1:11" ht="36">
      <c r="A128" s="78" t="s">
        <v>294</v>
      </c>
      <c r="B128" s="216" t="s">
        <v>354</v>
      </c>
      <c r="C128" s="77">
        <v>141101</v>
      </c>
      <c r="D128" s="33" t="s">
        <v>100</v>
      </c>
      <c r="E128" s="34" t="s">
        <v>4</v>
      </c>
      <c r="F128" s="35">
        <v>2</v>
      </c>
      <c r="G128" s="129">
        <v>454.12</v>
      </c>
      <c r="H128" s="129"/>
      <c r="I128" s="139">
        <f>ROUND(F128*G128,2)</f>
        <v>908.24</v>
      </c>
      <c r="J128" s="96"/>
      <c r="K128" s="130"/>
    </row>
    <row r="129" spans="1:11" ht="36">
      <c r="A129" s="78" t="s">
        <v>527</v>
      </c>
      <c r="B129" s="216" t="s">
        <v>354</v>
      </c>
      <c r="C129" s="77">
        <v>141104</v>
      </c>
      <c r="D129" s="33" t="s">
        <v>101</v>
      </c>
      <c r="E129" s="34" t="s">
        <v>4</v>
      </c>
      <c r="F129" s="35">
        <v>1</v>
      </c>
      <c r="G129" s="129">
        <v>491.27</v>
      </c>
      <c r="H129" s="129"/>
      <c r="I129" s="139">
        <f>ROUND(F129*G129,2)</f>
        <v>491.27</v>
      </c>
      <c r="J129" s="96"/>
      <c r="K129" s="141"/>
    </row>
    <row r="130" spans="1:12" ht="15">
      <c r="A130" s="102" t="s">
        <v>528</v>
      </c>
      <c r="B130" s="166"/>
      <c r="C130" s="115" t="s">
        <v>183</v>
      </c>
      <c r="D130" s="328" t="s">
        <v>102</v>
      </c>
      <c r="E130" s="329"/>
      <c r="F130" s="329"/>
      <c r="G130" s="329"/>
      <c r="H130" s="329"/>
      <c r="I130" s="329"/>
      <c r="J130" s="118"/>
      <c r="K130" s="141"/>
      <c r="L130" s="99"/>
    </row>
    <row r="131" spans="1:11" ht="15">
      <c r="A131" s="78" t="s">
        <v>529</v>
      </c>
      <c r="B131" s="216" t="s">
        <v>354</v>
      </c>
      <c r="C131" s="77">
        <v>141410</v>
      </c>
      <c r="D131" s="33" t="s">
        <v>103</v>
      </c>
      <c r="E131" s="34" t="s">
        <v>13</v>
      </c>
      <c r="F131" s="35">
        <f>0.85+19.83</f>
        <v>20.68</v>
      </c>
      <c r="G131" s="129">
        <v>19.69</v>
      </c>
      <c r="H131" s="129"/>
      <c r="I131" s="139">
        <f>G131*F131</f>
        <v>407.1892</v>
      </c>
      <c r="J131" s="96"/>
      <c r="K131" s="142"/>
    </row>
    <row r="132" spans="1:11" ht="15">
      <c r="A132" s="78" t="s">
        <v>530</v>
      </c>
      <c r="B132" s="216" t="s">
        <v>354</v>
      </c>
      <c r="C132" s="77">
        <v>141412</v>
      </c>
      <c r="D132" s="33" t="s">
        <v>387</v>
      </c>
      <c r="E132" s="34" t="s">
        <v>13</v>
      </c>
      <c r="F132" s="35">
        <v>2.58</v>
      </c>
      <c r="G132" s="129">
        <v>33.55</v>
      </c>
      <c r="H132" s="129"/>
      <c r="I132" s="139">
        <f>G132*F132</f>
        <v>86.559</v>
      </c>
      <c r="J132" s="96"/>
      <c r="K132" s="130"/>
    </row>
    <row r="133" spans="1:11" ht="15">
      <c r="A133" s="78" t="s">
        <v>531</v>
      </c>
      <c r="B133" s="216" t="s">
        <v>354</v>
      </c>
      <c r="C133" s="77">
        <v>141413</v>
      </c>
      <c r="D133" s="33" t="s">
        <v>345</v>
      </c>
      <c r="E133" s="34" t="s">
        <v>13</v>
      </c>
      <c r="F133" s="35">
        <v>29.81</v>
      </c>
      <c r="G133" s="129">
        <v>40.42</v>
      </c>
      <c r="H133" s="129"/>
      <c r="I133" s="139">
        <f>G133*F133</f>
        <v>1204.9202</v>
      </c>
      <c r="J133" s="96"/>
      <c r="K133" s="141"/>
    </row>
    <row r="134" spans="1:11" ht="15">
      <c r="A134" s="78" t="s">
        <v>532</v>
      </c>
      <c r="B134" s="216" t="s">
        <v>354</v>
      </c>
      <c r="C134" s="77">
        <v>141414</v>
      </c>
      <c r="D134" s="33" t="s">
        <v>344</v>
      </c>
      <c r="E134" s="34" t="s">
        <v>13</v>
      </c>
      <c r="F134" s="35">
        <v>45.81</v>
      </c>
      <c r="G134" s="129">
        <v>56.26</v>
      </c>
      <c r="H134" s="129"/>
      <c r="I134" s="139">
        <f>G134*F134</f>
        <v>2577.2706</v>
      </c>
      <c r="J134" s="96"/>
      <c r="K134" s="142"/>
    </row>
    <row r="135" spans="1:11" ht="15">
      <c r="A135" s="78" t="s">
        <v>533</v>
      </c>
      <c r="B135" s="216" t="s">
        <v>354</v>
      </c>
      <c r="C135" s="77">
        <v>141415</v>
      </c>
      <c r="D135" s="233" t="s">
        <v>388</v>
      </c>
      <c r="E135" s="34" t="s">
        <v>13</v>
      </c>
      <c r="F135" s="35">
        <v>22.26</v>
      </c>
      <c r="G135" s="277">
        <v>80.44</v>
      </c>
      <c r="H135" s="277"/>
      <c r="I135" s="282">
        <f>G135*F135</f>
        <v>1790.5944000000002</v>
      </c>
      <c r="J135" s="96"/>
      <c r="K135" s="142"/>
    </row>
    <row r="136" spans="1:12" ht="15">
      <c r="A136" s="102" t="s">
        <v>534</v>
      </c>
      <c r="B136" s="166"/>
      <c r="C136" s="115"/>
      <c r="D136" s="328" t="s">
        <v>407</v>
      </c>
      <c r="E136" s="329"/>
      <c r="F136" s="329"/>
      <c r="G136" s="329"/>
      <c r="H136" s="329"/>
      <c r="I136" s="329"/>
      <c r="J136" s="118"/>
      <c r="K136" s="142"/>
      <c r="L136" s="99"/>
    </row>
    <row r="137" spans="1:11" ht="36">
      <c r="A137" s="78" t="s">
        <v>535</v>
      </c>
      <c r="B137" s="38" t="s">
        <v>355</v>
      </c>
      <c r="C137" s="171">
        <v>89396</v>
      </c>
      <c r="D137" s="33" t="s">
        <v>409</v>
      </c>
      <c r="E137" s="34" t="s">
        <v>4</v>
      </c>
      <c r="F137" s="35">
        <v>1</v>
      </c>
      <c r="G137" s="277">
        <v>14.85</v>
      </c>
      <c r="H137" s="277">
        <f>G137*1.309</f>
        <v>19.43865</v>
      </c>
      <c r="I137" s="96">
        <f>ROUND(F137*H137,2)</f>
        <v>19.44</v>
      </c>
      <c r="J137" s="96"/>
      <c r="K137" s="142"/>
    </row>
    <row r="138" spans="1:11" ht="48">
      <c r="A138" s="78" t="s">
        <v>536</v>
      </c>
      <c r="B138" s="38" t="s">
        <v>355</v>
      </c>
      <c r="C138" s="171">
        <v>94698</v>
      </c>
      <c r="D138" s="33" t="s">
        <v>410</v>
      </c>
      <c r="E138" s="34" t="s">
        <v>4</v>
      </c>
      <c r="F138" s="35">
        <v>2</v>
      </c>
      <c r="G138" s="277">
        <v>49.43</v>
      </c>
      <c r="H138" s="277">
        <f aca="true" t="shared" si="0" ref="H138:H156">G138*1.309</f>
        <v>64.70387</v>
      </c>
      <c r="I138" s="96">
        <f aca="true" t="shared" si="1" ref="I138:I157">ROUND(F138*H138,2)</f>
        <v>129.41</v>
      </c>
      <c r="J138" s="96"/>
      <c r="K138" s="142"/>
    </row>
    <row r="139" spans="1:11" ht="24">
      <c r="A139" s="78" t="s">
        <v>537</v>
      </c>
      <c r="B139" s="38" t="s">
        <v>355</v>
      </c>
      <c r="C139" s="171">
        <v>89440</v>
      </c>
      <c r="D139" s="33" t="s">
        <v>411</v>
      </c>
      <c r="E139" s="34" t="s">
        <v>4</v>
      </c>
      <c r="F139" s="35">
        <v>7</v>
      </c>
      <c r="G139" s="277">
        <v>5.89</v>
      </c>
      <c r="H139" s="277">
        <f t="shared" si="0"/>
        <v>7.71001</v>
      </c>
      <c r="I139" s="96">
        <f t="shared" si="1"/>
        <v>53.97</v>
      </c>
      <c r="J139" s="96"/>
      <c r="K139" s="142"/>
    </row>
    <row r="140" spans="1:11" ht="36">
      <c r="A140" s="78" t="s">
        <v>538</v>
      </c>
      <c r="B140" s="38" t="s">
        <v>355</v>
      </c>
      <c r="C140" s="171">
        <v>89623</v>
      </c>
      <c r="D140" s="33" t="s">
        <v>412</v>
      </c>
      <c r="E140" s="34" t="s">
        <v>4</v>
      </c>
      <c r="F140" s="35">
        <v>1</v>
      </c>
      <c r="G140" s="277">
        <v>11.77</v>
      </c>
      <c r="H140" s="277">
        <f t="shared" si="0"/>
        <v>15.40693</v>
      </c>
      <c r="I140" s="96">
        <f t="shared" si="1"/>
        <v>15.41</v>
      </c>
      <c r="J140" s="96"/>
      <c r="K140" s="142"/>
    </row>
    <row r="141" spans="1:11" ht="36">
      <c r="A141" s="78" t="s">
        <v>539</v>
      </c>
      <c r="B141" s="38" t="s">
        <v>355</v>
      </c>
      <c r="C141" s="171">
        <v>89628</v>
      </c>
      <c r="D141" s="33" t="s">
        <v>413</v>
      </c>
      <c r="E141" s="34" t="s">
        <v>4</v>
      </c>
      <c r="F141" s="35">
        <v>8</v>
      </c>
      <c r="G141" s="277">
        <v>29.14</v>
      </c>
      <c r="H141" s="277">
        <f t="shared" si="0"/>
        <v>38.144259999999996</v>
      </c>
      <c r="I141" s="96">
        <f t="shared" si="1"/>
        <v>305.15</v>
      </c>
      <c r="J141" s="96"/>
      <c r="K141" s="142"/>
    </row>
    <row r="142" spans="1:11" ht="36">
      <c r="A142" s="78" t="s">
        <v>540</v>
      </c>
      <c r="B142" s="38" t="s">
        <v>355</v>
      </c>
      <c r="C142" s="171">
        <v>89629</v>
      </c>
      <c r="D142" s="33" t="s">
        <v>414</v>
      </c>
      <c r="E142" s="34" t="s">
        <v>4</v>
      </c>
      <c r="F142" s="35">
        <v>2</v>
      </c>
      <c r="G142" s="277">
        <v>51.43</v>
      </c>
      <c r="H142" s="277">
        <f t="shared" si="0"/>
        <v>67.32186999999999</v>
      </c>
      <c r="I142" s="96">
        <f t="shared" si="1"/>
        <v>134.64</v>
      </c>
      <c r="J142" s="96"/>
      <c r="K142" s="142"/>
    </row>
    <row r="143" spans="1:11" ht="36">
      <c r="A143" s="78" t="s">
        <v>541</v>
      </c>
      <c r="B143" s="38" t="s">
        <v>355</v>
      </c>
      <c r="C143" s="171">
        <v>97484</v>
      </c>
      <c r="D143" s="33" t="s">
        <v>395</v>
      </c>
      <c r="E143" s="34" t="s">
        <v>4</v>
      </c>
      <c r="F143" s="35">
        <v>1</v>
      </c>
      <c r="G143" s="277">
        <v>84.8</v>
      </c>
      <c r="H143" s="277">
        <f t="shared" si="0"/>
        <v>111.00319999999999</v>
      </c>
      <c r="I143" s="96">
        <f t="shared" si="1"/>
        <v>111</v>
      </c>
      <c r="J143" s="96"/>
      <c r="K143" s="142"/>
    </row>
    <row r="144" spans="1:11" ht="36">
      <c r="A144" s="78" t="s">
        <v>542</v>
      </c>
      <c r="B144" s="38" t="s">
        <v>355</v>
      </c>
      <c r="C144" s="171">
        <v>89503</v>
      </c>
      <c r="D144" s="33" t="s">
        <v>397</v>
      </c>
      <c r="E144" s="34" t="s">
        <v>4</v>
      </c>
      <c r="F144" s="35">
        <v>1</v>
      </c>
      <c r="G144" s="277">
        <v>14.44</v>
      </c>
      <c r="H144" s="277">
        <f t="shared" si="0"/>
        <v>18.90196</v>
      </c>
      <c r="I144" s="96">
        <f t="shared" si="1"/>
        <v>18.9</v>
      </c>
      <c r="J144" s="96"/>
      <c r="K144" s="142"/>
    </row>
    <row r="145" spans="1:11" ht="36">
      <c r="A145" s="78" t="s">
        <v>543</v>
      </c>
      <c r="B145" s="38" t="s">
        <v>355</v>
      </c>
      <c r="C145" s="171">
        <v>89546</v>
      </c>
      <c r="D145" s="33" t="s">
        <v>396</v>
      </c>
      <c r="E145" s="34" t="s">
        <v>4</v>
      </c>
      <c r="F145" s="35">
        <v>1</v>
      </c>
      <c r="G145" s="277">
        <v>6.48</v>
      </c>
      <c r="H145" s="277">
        <f t="shared" si="0"/>
        <v>8.48232</v>
      </c>
      <c r="I145" s="96">
        <f t="shared" si="1"/>
        <v>8.48</v>
      </c>
      <c r="J145" s="96"/>
      <c r="K145" s="142"/>
    </row>
    <row r="146" spans="1:11" ht="36">
      <c r="A146" s="78" t="s">
        <v>544</v>
      </c>
      <c r="B146" s="38" t="s">
        <v>355</v>
      </c>
      <c r="C146" s="171">
        <v>89366</v>
      </c>
      <c r="D146" s="33" t="s">
        <v>394</v>
      </c>
      <c r="E146" s="34" t="s">
        <v>4</v>
      </c>
      <c r="F146" s="35">
        <v>6</v>
      </c>
      <c r="G146" s="277">
        <v>10.82</v>
      </c>
      <c r="H146" s="277">
        <f t="shared" si="0"/>
        <v>14.16338</v>
      </c>
      <c r="I146" s="96">
        <f t="shared" si="1"/>
        <v>84.98</v>
      </c>
      <c r="J146" s="96"/>
      <c r="K146" s="142"/>
    </row>
    <row r="147" spans="1:11" ht="36">
      <c r="A147" s="78" t="s">
        <v>545</v>
      </c>
      <c r="B147" s="38" t="s">
        <v>355</v>
      </c>
      <c r="C147" s="171">
        <v>90373</v>
      </c>
      <c r="D147" s="33" t="s">
        <v>408</v>
      </c>
      <c r="E147" s="34" t="s">
        <v>4</v>
      </c>
      <c r="F147" s="35">
        <v>11</v>
      </c>
      <c r="G147" s="277">
        <v>9.97</v>
      </c>
      <c r="H147" s="277">
        <f t="shared" si="0"/>
        <v>13.05073</v>
      </c>
      <c r="I147" s="96">
        <f t="shared" si="1"/>
        <v>143.56</v>
      </c>
      <c r="J147" s="96"/>
      <c r="K147" s="142"/>
    </row>
    <row r="148" spans="1:11" ht="36">
      <c r="A148" s="78" t="s">
        <v>546</v>
      </c>
      <c r="B148" s="38" t="s">
        <v>355</v>
      </c>
      <c r="C148" s="171">
        <v>89481</v>
      </c>
      <c r="D148" s="33" t="s">
        <v>398</v>
      </c>
      <c r="E148" s="34" t="s">
        <v>4</v>
      </c>
      <c r="F148" s="35">
        <v>11</v>
      </c>
      <c r="G148" s="277">
        <v>3.16</v>
      </c>
      <c r="H148" s="277">
        <f t="shared" si="0"/>
        <v>4.13644</v>
      </c>
      <c r="I148" s="96">
        <f t="shared" si="1"/>
        <v>45.5</v>
      </c>
      <c r="J148" s="96"/>
      <c r="K148" s="142"/>
    </row>
    <row r="149" spans="1:11" ht="36">
      <c r="A149" s="78" t="s">
        <v>547</v>
      </c>
      <c r="B149" s="38" t="s">
        <v>355</v>
      </c>
      <c r="C149" s="171">
        <v>89497</v>
      </c>
      <c r="D149" s="33" t="s">
        <v>400</v>
      </c>
      <c r="E149" s="34" t="s">
        <v>4</v>
      </c>
      <c r="F149" s="35">
        <v>1</v>
      </c>
      <c r="G149" s="277">
        <v>7.66</v>
      </c>
      <c r="H149" s="277">
        <f t="shared" si="0"/>
        <v>10.02694</v>
      </c>
      <c r="I149" s="96">
        <f t="shared" si="1"/>
        <v>10.03</v>
      </c>
      <c r="J149" s="96"/>
      <c r="K149" s="142"/>
    </row>
    <row r="150" spans="1:11" ht="36">
      <c r="A150" s="78" t="s">
        <v>548</v>
      </c>
      <c r="B150" s="38" t="s">
        <v>355</v>
      </c>
      <c r="C150" s="171">
        <v>89501</v>
      </c>
      <c r="D150" s="33" t="s">
        <v>399</v>
      </c>
      <c r="E150" s="34" t="s">
        <v>4</v>
      </c>
      <c r="F150" s="35">
        <v>5</v>
      </c>
      <c r="G150" s="277">
        <v>9.3</v>
      </c>
      <c r="H150" s="277">
        <f t="shared" si="0"/>
        <v>12.1737</v>
      </c>
      <c r="I150" s="96">
        <f t="shared" si="1"/>
        <v>60.87</v>
      </c>
      <c r="J150" s="96"/>
      <c r="K150" s="142"/>
    </row>
    <row r="151" spans="1:11" ht="36">
      <c r="A151" s="78" t="s">
        <v>549</v>
      </c>
      <c r="B151" s="38" t="s">
        <v>355</v>
      </c>
      <c r="C151" s="171">
        <v>89505</v>
      </c>
      <c r="D151" s="33" t="s">
        <v>401</v>
      </c>
      <c r="E151" s="34" t="s">
        <v>4</v>
      </c>
      <c r="F151" s="35">
        <v>13</v>
      </c>
      <c r="G151" s="277">
        <v>25.1</v>
      </c>
      <c r="H151" s="277">
        <f t="shared" si="0"/>
        <v>32.8559</v>
      </c>
      <c r="I151" s="96">
        <f t="shared" si="1"/>
        <v>427.13</v>
      </c>
      <c r="J151" s="96"/>
      <c r="K151" s="142"/>
    </row>
    <row r="152" spans="1:11" ht="36">
      <c r="A152" s="78" t="s">
        <v>550</v>
      </c>
      <c r="B152" s="38" t="s">
        <v>355</v>
      </c>
      <c r="C152" s="171">
        <v>89513</v>
      </c>
      <c r="D152" s="33" t="s">
        <v>402</v>
      </c>
      <c r="E152" s="34" t="s">
        <v>4</v>
      </c>
      <c r="F152" s="35">
        <v>9</v>
      </c>
      <c r="G152" s="277">
        <v>68.04</v>
      </c>
      <c r="H152" s="277">
        <f t="shared" si="0"/>
        <v>89.06436000000001</v>
      </c>
      <c r="I152" s="96">
        <f t="shared" si="1"/>
        <v>801.58</v>
      </c>
      <c r="J152" s="96"/>
      <c r="K152" s="142"/>
    </row>
    <row r="153" spans="1:11" ht="24">
      <c r="A153" s="78" t="s">
        <v>551</v>
      </c>
      <c r="B153" s="38" t="s">
        <v>355</v>
      </c>
      <c r="C153" s="171">
        <v>89381</v>
      </c>
      <c r="D153" s="33" t="s">
        <v>404</v>
      </c>
      <c r="E153" s="34" t="s">
        <v>4</v>
      </c>
      <c r="F153" s="35">
        <v>3</v>
      </c>
      <c r="G153" s="277">
        <v>9.38</v>
      </c>
      <c r="H153" s="277">
        <f t="shared" si="0"/>
        <v>12.27842</v>
      </c>
      <c r="I153" s="96">
        <f t="shared" si="1"/>
        <v>36.84</v>
      </c>
      <c r="J153" s="96"/>
      <c r="K153" s="142"/>
    </row>
    <row r="154" spans="1:11" ht="36">
      <c r="A154" s="78" t="s">
        <v>552</v>
      </c>
      <c r="B154" s="38" t="s">
        <v>355</v>
      </c>
      <c r="C154" s="77">
        <v>89611</v>
      </c>
      <c r="D154" s="233" t="s">
        <v>406</v>
      </c>
      <c r="E154" s="34" t="s">
        <v>4</v>
      </c>
      <c r="F154" s="35">
        <v>2</v>
      </c>
      <c r="G154" s="277">
        <v>21.6</v>
      </c>
      <c r="H154" s="277">
        <f t="shared" si="0"/>
        <v>28.2744</v>
      </c>
      <c r="I154" s="96">
        <f t="shared" si="1"/>
        <v>56.55</v>
      </c>
      <c r="J154" s="96"/>
      <c r="K154" s="142"/>
    </row>
    <row r="155" spans="1:11" ht="36">
      <c r="A155" s="78" t="s">
        <v>553</v>
      </c>
      <c r="B155" s="38" t="s">
        <v>355</v>
      </c>
      <c r="C155" s="77">
        <v>89597</v>
      </c>
      <c r="D155" s="233" t="s">
        <v>405</v>
      </c>
      <c r="E155" s="34" t="s">
        <v>4</v>
      </c>
      <c r="F155" s="35">
        <v>8</v>
      </c>
      <c r="G155" s="277">
        <v>14.62</v>
      </c>
      <c r="H155" s="277">
        <f t="shared" si="0"/>
        <v>19.13758</v>
      </c>
      <c r="I155" s="96">
        <f t="shared" si="1"/>
        <v>153.1</v>
      </c>
      <c r="J155" s="96"/>
      <c r="K155" s="142"/>
    </row>
    <row r="156" spans="1:11" ht="15">
      <c r="A156" s="78" t="s">
        <v>554</v>
      </c>
      <c r="B156" s="38" t="s">
        <v>355</v>
      </c>
      <c r="C156" s="77">
        <v>72293</v>
      </c>
      <c r="D156" s="233" t="s">
        <v>510</v>
      </c>
      <c r="E156" s="34" t="s">
        <v>4</v>
      </c>
      <c r="F156" s="239">
        <v>1</v>
      </c>
      <c r="G156" s="277">
        <v>5.18</v>
      </c>
      <c r="H156" s="277">
        <f t="shared" si="0"/>
        <v>6.780619999999999</v>
      </c>
      <c r="I156" s="96">
        <f t="shared" si="1"/>
        <v>6.78</v>
      </c>
      <c r="J156" s="96"/>
      <c r="K156" s="142"/>
    </row>
    <row r="157" spans="1:11" ht="15">
      <c r="A157" s="78" t="s">
        <v>621</v>
      </c>
      <c r="B157" s="38" t="s">
        <v>355</v>
      </c>
      <c r="C157" s="77">
        <v>813</v>
      </c>
      <c r="D157" s="233" t="s">
        <v>620</v>
      </c>
      <c r="E157" s="34" t="s">
        <v>4</v>
      </c>
      <c r="F157" s="239">
        <v>2</v>
      </c>
      <c r="G157" s="277">
        <v>3.39</v>
      </c>
      <c r="H157" s="277">
        <v>6.8</v>
      </c>
      <c r="I157" s="96">
        <f t="shared" si="1"/>
        <v>13.6</v>
      </c>
      <c r="J157" s="96"/>
      <c r="K157" s="142"/>
    </row>
    <row r="158" spans="1:12" ht="15">
      <c r="A158" s="102" t="s">
        <v>555</v>
      </c>
      <c r="B158" s="166"/>
      <c r="C158" s="115">
        <v>1401</v>
      </c>
      <c r="D158" s="328" t="s">
        <v>348</v>
      </c>
      <c r="E158" s="329"/>
      <c r="F158" s="329"/>
      <c r="G158" s="329"/>
      <c r="H158" s="329"/>
      <c r="I158" s="329"/>
      <c r="J158" s="118"/>
      <c r="K158" s="141"/>
      <c r="L158" s="99"/>
    </row>
    <row r="159" spans="1:11" ht="36">
      <c r="A159" s="38" t="s">
        <v>556</v>
      </c>
      <c r="B159" s="216" t="s">
        <v>354</v>
      </c>
      <c r="C159" s="38">
        <v>140103</v>
      </c>
      <c r="D159" s="36" t="s">
        <v>349</v>
      </c>
      <c r="E159" s="34" t="s">
        <v>4</v>
      </c>
      <c r="F159" s="35">
        <v>1</v>
      </c>
      <c r="G159" s="129">
        <v>2345.1</v>
      </c>
      <c r="H159" s="129"/>
      <c r="I159" s="139">
        <f>ROUND(G159*F159,2)</f>
        <v>2345.1</v>
      </c>
      <c r="J159" s="96"/>
      <c r="K159" s="141"/>
    </row>
    <row r="160" spans="1:11" ht="36">
      <c r="A160" s="38" t="s">
        <v>557</v>
      </c>
      <c r="B160" s="216" t="s">
        <v>354</v>
      </c>
      <c r="C160" s="38">
        <v>140102</v>
      </c>
      <c r="D160" s="36" t="s">
        <v>350</v>
      </c>
      <c r="E160" s="34" t="s">
        <v>4</v>
      </c>
      <c r="F160" s="35">
        <v>1</v>
      </c>
      <c r="G160" s="129">
        <v>1580.6</v>
      </c>
      <c r="H160" s="129"/>
      <c r="I160" s="139">
        <f>ROUND(G160*F160,2)</f>
        <v>1580.6</v>
      </c>
      <c r="J160" s="96"/>
      <c r="K160" s="141"/>
    </row>
    <row r="161" spans="1:11" ht="36">
      <c r="A161" s="38" t="s">
        <v>558</v>
      </c>
      <c r="B161" s="226" t="s">
        <v>355</v>
      </c>
      <c r="C161" s="124">
        <v>98078</v>
      </c>
      <c r="D161" s="36" t="s">
        <v>351</v>
      </c>
      <c r="E161" s="34" t="s">
        <v>4</v>
      </c>
      <c r="F161" s="35">
        <v>1</v>
      </c>
      <c r="G161" s="277">
        <v>2785.06</v>
      </c>
      <c r="H161" s="129">
        <f>G161*1.309</f>
        <v>3645.6435399999996</v>
      </c>
      <c r="I161" s="139">
        <f>ROUND(H161*F161,2)</f>
        <v>3645.64</v>
      </c>
      <c r="J161" s="96"/>
      <c r="K161" s="141"/>
    </row>
    <row r="162" spans="1:12" s="204" customFormat="1" ht="15">
      <c r="A162" s="102" t="s">
        <v>559</v>
      </c>
      <c r="B162" s="166"/>
      <c r="C162" s="104">
        <v>1419</v>
      </c>
      <c r="D162" s="328" t="s">
        <v>104</v>
      </c>
      <c r="E162" s="329"/>
      <c r="F162" s="329"/>
      <c r="G162" s="329"/>
      <c r="H162" s="329"/>
      <c r="I162" s="329"/>
      <c r="J162" s="118"/>
      <c r="K162" s="142"/>
      <c r="L162" s="203"/>
    </row>
    <row r="163" spans="1:12" ht="24">
      <c r="A163" s="78" t="s">
        <v>560</v>
      </c>
      <c r="B163" s="216" t="s">
        <v>354</v>
      </c>
      <c r="C163" s="77">
        <v>141906</v>
      </c>
      <c r="D163" s="33" t="s">
        <v>105</v>
      </c>
      <c r="E163" s="34" t="s">
        <v>13</v>
      </c>
      <c r="F163" s="35">
        <v>38.92</v>
      </c>
      <c r="G163" s="129">
        <v>29.43</v>
      </c>
      <c r="H163" s="129"/>
      <c r="I163" s="139">
        <f>ROUND(F163*G163,2)</f>
        <v>1145.42</v>
      </c>
      <c r="J163" s="96"/>
      <c r="K163" s="130"/>
      <c r="L163" s="93"/>
    </row>
    <row r="164" spans="1:12" ht="24">
      <c r="A164" s="78" t="s">
        <v>561</v>
      </c>
      <c r="B164" s="216" t="s">
        <v>354</v>
      </c>
      <c r="C164" s="77">
        <v>141907</v>
      </c>
      <c r="D164" s="33" t="s">
        <v>106</v>
      </c>
      <c r="E164" s="34" t="s">
        <v>13</v>
      </c>
      <c r="F164" s="35">
        <v>30.88</v>
      </c>
      <c r="G164" s="129">
        <v>38.05</v>
      </c>
      <c r="H164" s="129"/>
      <c r="I164" s="139">
        <f>ROUND(F164*G164,2)</f>
        <v>1174.98</v>
      </c>
      <c r="J164" s="96"/>
      <c r="K164" s="130"/>
      <c r="L164" s="93"/>
    </row>
    <row r="165" spans="1:11" ht="24">
      <c r="A165" s="78" t="s">
        <v>562</v>
      </c>
      <c r="B165" s="216" t="s">
        <v>354</v>
      </c>
      <c r="C165" s="77">
        <v>141909</v>
      </c>
      <c r="D165" s="33" t="s">
        <v>107</v>
      </c>
      <c r="E165" s="34" t="s">
        <v>13</v>
      </c>
      <c r="F165" s="35">
        <v>38.63</v>
      </c>
      <c r="G165" s="129">
        <v>59.32</v>
      </c>
      <c r="H165" s="129"/>
      <c r="I165" s="139">
        <f>ROUND(F165*G165,2)</f>
        <v>2291.53</v>
      </c>
      <c r="J165" s="96"/>
      <c r="K165" s="130"/>
    </row>
    <row r="166" spans="1:12" s="204" customFormat="1" ht="15">
      <c r="A166" s="102" t="s">
        <v>563</v>
      </c>
      <c r="B166" s="166"/>
      <c r="C166" s="104">
        <v>1419</v>
      </c>
      <c r="D166" s="328" t="s">
        <v>378</v>
      </c>
      <c r="E166" s="329"/>
      <c r="F166" s="329"/>
      <c r="G166" s="329"/>
      <c r="H166" s="329"/>
      <c r="I166" s="329"/>
      <c r="J166" s="118"/>
      <c r="K166" s="142"/>
      <c r="L166" s="203"/>
    </row>
    <row r="167" spans="1:11" ht="36">
      <c r="A167" s="78" t="s">
        <v>564</v>
      </c>
      <c r="B167" s="216" t="s">
        <v>355</v>
      </c>
      <c r="C167" s="77">
        <v>89499</v>
      </c>
      <c r="D167" s="233" t="s">
        <v>372</v>
      </c>
      <c r="E167" s="34" t="s">
        <v>4</v>
      </c>
      <c r="F167" s="239">
        <v>18</v>
      </c>
      <c r="G167" s="277">
        <v>12.35</v>
      </c>
      <c r="H167" s="277">
        <f>G167*1.309</f>
        <v>16.16615</v>
      </c>
      <c r="I167" s="96">
        <f>ROUND(F167*H167,2)</f>
        <v>290.99</v>
      </c>
      <c r="J167" s="96"/>
      <c r="K167" s="141"/>
    </row>
    <row r="168" spans="1:11" ht="36">
      <c r="A168" s="78" t="s">
        <v>565</v>
      </c>
      <c r="B168" s="216" t="s">
        <v>355</v>
      </c>
      <c r="C168" s="77">
        <v>89746</v>
      </c>
      <c r="D168" s="233" t="s">
        <v>373</v>
      </c>
      <c r="E168" s="34" t="s">
        <v>4</v>
      </c>
      <c r="F168" s="239">
        <v>10</v>
      </c>
      <c r="G168" s="277">
        <v>16.87</v>
      </c>
      <c r="H168" s="277">
        <f aca="true" t="shared" si="2" ref="H168:H176">G168*1.309</f>
        <v>22.08283</v>
      </c>
      <c r="I168" s="96">
        <f aca="true" t="shared" si="3" ref="I168:I176">ROUND(F168*H168,2)</f>
        <v>220.83</v>
      </c>
      <c r="J168" s="96"/>
      <c r="K168" s="141"/>
    </row>
    <row r="169" spans="1:11" ht="36">
      <c r="A169" s="78" t="s">
        <v>566</v>
      </c>
      <c r="B169" s="216" t="s">
        <v>355</v>
      </c>
      <c r="C169" s="77">
        <v>89802</v>
      </c>
      <c r="D169" s="233" t="s">
        <v>374</v>
      </c>
      <c r="E169" s="34" t="s">
        <v>4</v>
      </c>
      <c r="F169" s="239">
        <v>7</v>
      </c>
      <c r="G169" s="277">
        <v>5.05</v>
      </c>
      <c r="H169" s="277">
        <f t="shared" si="2"/>
        <v>6.610449999999999</v>
      </c>
      <c r="I169" s="96">
        <f t="shared" si="3"/>
        <v>46.27</v>
      </c>
      <c r="J169" s="96"/>
      <c r="K169" s="141"/>
    </row>
    <row r="170" spans="1:11" ht="48">
      <c r="A170" s="78" t="s">
        <v>567</v>
      </c>
      <c r="B170" s="216" t="s">
        <v>355</v>
      </c>
      <c r="C170" s="77">
        <v>92385</v>
      </c>
      <c r="D170" s="233" t="s">
        <v>375</v>
      </c>
      <c r="E170" s="34" t="s">
        <v>4</v>
      </c>
      <c r="F170" s="239">
        <v>20</v>
      </c>
      <c r="G170" s="277">
        <v>49.83</v>
      </c>
      <c r="H170" s="277">
        <f t="shared" si="2"/>
        <v>65.22747</v>
      </c>
      <c r="I170" s="96">
        <f t="shared" si="3"/>
        <v>1304.55</v>
      </c>
      <c r="J170" s="96"/>
      <c r="K170" s="141"/>
    </row>
    <row r="171" spans="1:11" ht="36">
      <c r="A171" s="78" t="s">
        <v>568</v>
      </c>
      <c r="B171" s="216" t="s">
        <v>355</v>
      </c>
      <c r="C171" s="77">
        <v>89809</v>
      </c>
      <c r="D171" s="233" t="s">
        <v>376</v>
      </c>
      <c r="E171" s="34" t="s">
        <v>4</v>
      </c>
      <c r="F171" s="239">
        <v>5</v>
      </c>
      <c r="G171" s="277">
        <v>12.6</v>
      </c>
      <c r="H171" s="277">
        <f t="shared" si="2"/>
        <v>16.493399999999998</v>
      </c>
      <c r="I171" s="96">
        <f t="shared" si="3"/>
        <v>82.47</v>
      </c>
      <c r="J171" s="96"/>
      <c r="K171" s="141"/>
    </row>
    <row r="172" spans="1:11" ht="48">
      <c r="A172" s="78" t="s">
        <v>569</v>
      </c>
      <c r="B172" s="216" t="s">
        <v>355</v>
      </c>
      <c r="C172" s="77">
        <v>92386</v>
      </c>
      <c r="D172" s="233" t="s">
        <v>377</v>
      </c>
      <c r="E172" s="34" t="s">
        <v>4</v>
      </c>
      <c r="F172" s="239">
        <v>15</v>
      </c>
      <c r="G172" s="277">
        <v>47.83</v>
      </c>
      <c r="H172" s="277">
        <f t="shared" si="2"/>
        <v>62.609469999999995</v>
      </c>
      <c r="I172" s="96">
        <f t="shared" si="3"/>
        <v>939.14</v>
      </c>
      <c r="J172" s="96"/>
      <c r="K172" s="141"/>
    </row>
    <row r="173" spans="1:11" ht="36">
      <c r="A173" s="78" t="s">
        <v>570</v>
      </c>
      <c r="B173" s="216" t="s">
        <v>355</v>
      </c>
      <c r="C173" s="77">
        <v>89787</v>
      </c>
      <c r="D173" s="233" t="s">
        <v>385</v>
      </c>
      <c r="E173" s="34" t="s">
        <v>4</v>
      </c>
      <c r="F173" s="239">
        <v>20</v>
      </c>
      <c r="G173" s="277">
        <v>17.14</v>
      </c>
      <c r="H173" s="277">
        <f t="shared" si="2"/>
        <v>22.43626</v>
      </c>
      <c r="I173" s="96">
        <f t="shared" si="3"/>
        <v>448.73</v>
      </c>
      <c r="J173" s="96"/>
      <c r="K173" s="141"/>
    </row>
    <row r="174" spans="1:11" ht="36">
      <c r="A174" s="78" t="s">
        <v>571</v>
      </c>
      <c r="B174" s="216" t="s">
        <v>355</v>
      </c>
      <c r="C174" s="77">
        <v>89834</v>
      </c>
      <c r="D174" s="233" t="s">
        <v>380</v>
      </c>
      <c r="E174" s="34" t="s">
        <v>4</v>
      </c>
      <c r="F174" s="239">
        <v>4</v>
      </c>
      <c r="G174" s="277">
        <v>26.37</v>
      </c>
      <c r="H174" s="277">
        <f t="shared" si="2"/>
        <v>34.51833</v>
      </c>
      <c r="I174" s="96">
        <f t="shared" si="3"/>
        <v>138.07</v>
      </c>
      <c r="J174" s="96"/>
      <c r="K174" s="141"/>
    </row>
    <row r="175" spans="1:11" ht="36">
      <c r="A175" s="78" t="s">
        <v>572</v>
      </c>
      <c r="B175" s="216" t="s">
        <v>355</v>
      </c>
      <c r="C175" s="77">
        <v>89827</v>
      </c>
      <c r="D175" s="233" t="s">
        <v>379</v>
      </c>
      <c r="E175" s="34" t="s">
        <v>4</v>
      </c>
      <c r="F175" s="239">
        <v>1</v>
      </c>
      <c r="G175" s="277">
        <v>10.69</v>
      </c>
      <c r="H175" s="277">
        <f t="shared" si="2"/>
        <v>13.99321</v>
      </c>
      <c r="I175" s="96">
        <f t="shared" si="3"/>
        <v>13.99</v>
      </c>
      <c r="J175" s="96"/>
      <c r="K175" s="141"/>
    </row>
    <row r="176" spans="1:11" ht="36">
      <c r="A176" s="78" t="s">
        <v>573</v>
      </c>
      <c r="B176" s="216" t="s">
        <v>355</v>
      </c>
      <c r="C176" s="77">
        <v>89782</v>
      </c>
      <c r="D176" s="233" t="s">
        <v>381</v>
      </c>
      <c r="E176" s="34" t="s">
        <v>4</v>
      </c>
      <c r="F176" s="239">
        <v>3</v>
      </c>
      <c r="G176" s="277">
        <v>7.94</v>
      </c>
      <c r="H176" s="277">
        <f t="shared" si="2"/>
        <v>10.39346</v>
      </c>
      <c r="I176" s="96">
        <f t="shared" si="3"/>
        <v>31.18</v>
      </c>
      <c r="J176" s="96"/>
      <c r="K176" s="141"/>
    </row>
    <row r="177" spans="1:12" s="204" customFormat="1" ht="15">
      <c r="A177" s="102" t="s">
        <v>574</v>
      </c>
      <c r="B177" s="166"/>
      <c r="C177" s="104">
        <v>1419</v>
      </c>
      <c r="D177" s="328" t="s">
        <v>415</v>
      </c>
      <c r="E177" s="329"/>
      <c r="F177" s="329"/>
      <c r="G177" s="329"/>
      <c r="H177" s="329"/>
      <c r="I177" s="329"/>
      <c r="J177" s="118"/>
      <c r="K177" s="141"/>
      <c r="L177" s="203"/>
    </row>
    <row r="178" spans="1:11" ht="27" customHeight="1">
      <c r="A178" s="78" t="s">
        <v>575</v>
      </c>
      <c r="B178" s="216" t="s">
        <v>354</v>
      </c>
      <c r="C178" s="77">
        <v>141907</v>
      </c>
      <c r="D178" s="33" t="s">
        <v>106</v>
      </c>
      <c r="E178" s="34" t="s">
        <v>13</v>
      </c>
      <c r="F178" s="35">
        <v>10.8</v>
      </c>
      <c r="G178" s="277">
        <v>38.05</v>
      </c>
      <c r="H178" s="277"/>
      <c r="I178" s="282">
        <f>ROUND(F178*G178,2)</f>
        <v>410.94</v>
      </c>
      <c r="J178" s="96"/>
      <c r="K178" s="141"/>
    </row>
    <row r="179" spans="1:11" ht="15">
      <c r="A179" s="78" t="s">
        <v>576</v>
      </c>
      <c r="B179" s="216" t="s">
        <v>354</v>
      </c>
      <c r="C179" s="77">
        <v>141410</v>
      </c>
      <c r="D179" s="233" t="s">
        <v>103</v>
      </c>
      <c r="E179" s="34" t="s">
        <v>13</v>
      </c>
      <c r="F179" s="35">
        <v>0.28</v>
      </c>
      <c r="G179" s="277">
        <v>19.69</v>
      </c>
      <c r="H179" s="277"/>
      <c r="I179" s="282">
        <f>ROUND(F179*G179,2)</f>
        <v>5.51</v>
      </c>
      <c r="J179" s="96"/>
      <c r="K179" s="141"/>
    </row>
    <row r="180" spans="1:11" ht="36">
      <c r="A180" s="78" t="s">
        <v>577</v>
      </c>
      <c r="B180" s="216" t="s">
        <v>355</v>
      </c>
      <c r="C180" s="77">
        <v>89784</v>
      </c>
      <c r="D180" s="233" t="s">
        <v>382</v>
      </c>
      <c r="E180" s="34" t="s">
        <v>4</v>
      </c>
      <c r="F180" s="35">
        <v>3</v>
      </c>
      <c r="G180" s="277">
        <v>13.42</v>
      </c>
      <c r="H180" s="277">
        <f>G180*1.309</f>
        <v>17.566779999999998</v>
      </c>
      <c r="I180" s="282">
        <f>ROUND(F180*H180,2)</f>
        <v>52.7</v>
      </c>
      <c r="J180" s="96"/>
      <c r="K180" s="141"/>
    </row>
    <row r="181" spans="1:11" ht="36">
      <c r="A181" s="78" t="s">
        <v>578</v>
      </c>
      <c r="B181" s="216" t="s">
        <v>355</v>
      </c>
      <c r="C181" s="77">
        <v>89504</v>
      </c>
      <c r="D181" s="233" t="s">
        <v>383</v>
      </c>
      <c r="E181" s="34" t="s">
        <v>4</v>
      </c>
      <c r="F181" s="35">
        <v>3</v>
      </c>
      <c r="G181" s="277">
        <v>13</v>
      </c>
      <c r="H181" s="277">
        <f>G181*1.309</f>
        <v>17.017</v>
      </c>
      <c r="I181" s="282">
        <f>ROUND(F181*H181,2)</f>
        <v>51.05</v>
      </c>
      <c r="J181" s="96"/>
      <c r="K181" s="141"/>
    </row>
    <row r="182" spans="1:11" ht="36">
      <c r="A182" s="78" t="s">
        <v>579</v>
      </c>
      <c r="B182" s="216" t="s">
        <v>355</v>
      </c>
      <c r="C182" s="77">
        <v>89802</v>
      </c>
      <c r="D182" s="233" t="s">
        <v>374</v>
      </c>
      <c r="E182" s="34" t="s">
        <v>4</v>
      </c>
      <c r="F182" s="35">
        <v>2</v>
      </c>
      <c r="G182" s="277">
        <v>5.05</v>
      </c>
      <c r="H182" s="277">
        <f>G182*1.309</f>
        <v>6.610449999999999</v>
      </c>
      <c r="I182" s="282">
        <f>ROUND(F182*H182,2)</f>
        <v>13.22</v>
      </c>
      <c r="J182" s="96"/>
      <c r="K182" s="141"/>
    </row>
    <row r="183" spans="1:11" ht="24">
      <c r="A183" s="78" t="s">
        <v>580</v>
      </c>
      <c r="B183" s="216" t="s">
        <v>355</v>
      </c>
      <c r="C183" s="77">
        <v>89801</v>
      </c>
      <c r="D183" s="233" t="s">
        <v>384</v>
      </c>
      <c r="E183" s="34" t="s">
        <v>4</v>
      </c>
      <c r="F183" s="35">
        <v>3</v>
      </c>
      <c r="G183" s="277">
        <v>4.51</v>
      </c>
      <c r="H183" s="277">
        <f>G183*1.309</f>
        <v>5.9035899999999994</v>
      </c>
      <c r="I183" s="282">
        <f>ROUND(F183*H183,2)</f>
        <v>17.71</v>
      </c>
      <c r="J183" s="96"/>
      <c r="K183" s="141"/>
    </row>
    <row r="184" spans="1:12" ht="15">
      <c r="A184" s="102" t="s">
        <v>581</v>
      </c>
      <c r="B184" s="166"/>
      <c r="C184" s="104">
        <v>1421</v>
      </c>
      <c r="D184" s="328" t="s">
        <v>108</v>
      </c>
      <c r="E184" s="329"/>
      <c r="F184" s="329"/>
      <c r="G184" s="329"/>
      <c r="H184" s="329"/>
      <c r="I184" s="329"/>
      <c r="J184" s="118"/>
      <c r="K184" s="141"/>
      <c r="L184" s="99"/>
    </row>
    <row r="185" spans="1:11" ht="24">
      <c r="A185" s="215" t="s">
        <v>582</v>
      </c>
      <c r="B185" s="38" t="s">
        <v>354</v>
      </c>
      <c r="C185" s="171">
        <v>141527</v>
      </c>
      <c r="D185" s="33" t="s">
        <v>389</v>
      </c>
      <c r="E185" s="34" t="s">
        <v>4</v>
      </c>
      <c r="F185" s="35">
        <v>1</v>
      </c>
      <c r="G185" s="277">
        <v>216.77</v>
      </c>
      <c r="H185" s="277"/>
      <c r="I185" s="96">
        <f>ROUND(F185*G185,2)</f>
        <v>216.77</v>
      </c>
      <c r="J185" s="96"/>
      <c r="K185" s="141"/>
    </row>
    <row r="186" spans="1:11" ht="48">
      <c r="A186" s="215" t="s">
        <v>583</v>
      </c>
      <c r="B186" s="38" t="s">
        <v>355</v>
      </c>
      <c r="C186" s="171">
        <v>89383</v>
      </c>
      <c r="D186" s="33" t="s">
        <v>390</v>
      </c>
      <c r="E186" s="34" t="s">
        <v>4</v>
      </c>
      <c r="F186" s="35">
        <v>18</v>
      </c>
      <c r="G186" s="277">
        <v>4.57</v>
      </c>
      <c r="H186" s="277">
        <f>G186*1.309</f>
        <v>5.98213</v>
      </c>
      <c r="I186" s="96">
        <f>ROUND(F186*H186,2)</f>
        <v>107.68</v>
      </c>
      <c r="J186" s="96"/>
      <c r="K186" s="141"/>
    </row>
    <row r="187" spans="1:11" ht="48">
      <c r="A187" s="215" t="s">
        <v>584</v>
      </c>
      <c r="B187" s="38" t="s">
        <v>355</v>
      </c>
      <c r="C187" s="171">
        <v>89596</v>
      </c>
      <c r="D187" s="33" t="s">
        <v>391</v>
      </c>
      <c r="E187" s="34" t="s">
        <v>4</v>
      </c>
      <c r="F187" s="35">
        <v>1</v>
      </c>
      <c r="G187" s="277">
        <v>6.91</v>
      </c>
      <c r="H187" s="277">
        <f>G187*1.309</f>
        <v>9.04519</v>
      </c>
      <c r="I187" s="96">
        <f>ROUND(F187*H187,2)</f>
        <v>9.05</v>
      </c>
      <c r="J187" s="96"/>
      <c r="K187" s="141"/>
    </row>
    <row r="188" spans="1:11" ht="24">
      <c r="A188" s="215" t="s">
        <v>585</v>
      </c>
      <c r="B188" s="38" t="s">
        <v>355</v>
      </c>
      <c r="C188" s="171">
        <v>86884</v>
      </c>
      <c r="D188" s="33" t="s">
        <v>403</v>
      </c>
      <c r="E188" s="34" t="s">
        <v>4</v>
      </c>
      <c r="F188" s="35">
        <v>12</v>
      </c>
      <c r="G188" s="277">
        <v>6.34</v>
      </c>
      <c r="H188" s="277">
        <f>G188*1.309</f>
        <v>8.299059999999999</v>
      </c>
      <c r="I188" s="96">
        <f>ROUND(F188*H188,2)</f>
        <v>99.59</v>
      </c>
      <c r="J188" s="96"/>
      <c r="K188" s="141"/>
    </row>
    <row r="189" spans="1:12" ht="15">
      <c r="A189" s="79"/>
      <c r="B189" s="152"/>
      <c r="C189" s="343" t="s">
        <v>91</v>
      </c>
      <c r="D189" s="343"/>
      <c r="E189" s="343"/>
      <c r="F189" s="343"/>
      <c r="G189" s="343"/>
      <c r="H189" s="343"/>
      <c r="I189" s="344"/>
      <c r="J189" s="122">
        <f>SUM(I122:I188)</f>
        <v>28552.433399999998</v>
      </c>
      <c r="K189" s="142"/>
      <c r="L189" s="99"/>
    </row>
    <row r="190" spans="1:12" ht="15.75" thickBot="1">
      <c r="A190" s="79"/>
      <c r="B190" s="152"/>
      <c r="C190" s="191"/>
      <c r="D190" s="191"/>
      <c r="E190" s="191"/>
      <c r="F190" s="191"/>
      <c r="G190" s="191"/>
      <c r="H190" s="191"/>
      <c r="I190" s="191"/>
      <c r="J190" s="122"/>
      <c r="K190" s="130"/>
      <c r="L190" s="99"/>
    </row>
    <row r="191" spans="1:12" ht="15.75" thickBot="1">
      <c r="A191" s="296">
        <v>14</v>
      </c>
      <c r="B191" s="297"/>
      <c r="C191" s="298"/>
      <c r="D191" s="341" t="s">
        <v>134</v>
      </c>
      <c r="E191" s="341"/>
      <c r="F191" s="341"/>
      <c r="G191" s="342"/>
      <c r="H191" s="296"/>
      <c r="I191" s="297"/>
      <c r="J191" s="298"/>
      <c r="K191" s="130"/>
      <c r="L191" s="99"/>
    </row>
    <row r="192" spans="1:12" ht="15">
      <c r="A192" s="102" t="s">
        <v>295</v>
      </c>
      <c r="B192" s="166"/>
      <c r="C192" s="103" t="s">
        <v>135</v>
      </c>
      <c r="D192" s="328" t="s">
        <v>136</v>
      </c>
      <c r="E192" s="329"/>
      <c r="F192" s="329"/>
      <c r="G192" s="329"/>
      <c r="H192" s="329"/>
      <c r="I192" s="329"/>
      <c r="J192" s="118"/>
      <c r="K192" s="130"/>
      <c r="L192" s="99"/>
    </row>
    <row r="193" spans="1:11" ht="24">
      <c r="A193" s="78" t="s">
        <v>296</v>
      </c>
      <c r="B193" s="38" t="s">
        <v>354</v>
      </c>
      <c r="C193" s="77">
        <v>170108</v>
      </c>
      <c r="D193" s="33" t="s">
        <v>137</v>
      </c>
      <c r="E193" s="34" t="s">
        <v>4</v>
      </c>
      <c r="F193" s="35">
        <v>4</v>
      </c>
      <c r="G193" s="129">
        <v>74.42</v>
      </c>
      <c r="H193" s="129"/>
      <c r="I193" s="139">
        <f>ROUND(F193*G193,2)</f>
        <v>297.68</v>
      </c>
      <c r="J193" s="96"/>
      <c r="K193" s="238"/>
    </row>
    <row r="194" spans="1:11" ht="24">
      <c r="A194" s="78" t="s">
        <v>297</v>
      </c>
      <c r="B194" s="38" t="s">
        <v>354</v>
      </c>
      <c r="C194" s="77">
        <v>170110</v>
      </c>
      <c r="D194" s="33" t="s">
        <v>138</v>
      </c>
      <c r="E194" s="34" t="s">
        <v>4</v>
      </c>
      <c r="F194" s="35">
        <v>4</v>
      </c>
      <c r="G194" s="129">
        <v>59.97</v>
      </c>
      <c r="H194" s="129"/>
      <c r="I194" s="139">
        <f>ROUND(F194*G194,2)</f>
        <v>239.88</v>
      </c>
      <c r="J194" s="96"/>
      <c r="K194" s="238"/>
    </row>
    <row r="195" spans="1:11" ht="24">
      <c r="A195" s="78" t="s">
        <v>586</v>
      </c>
      <c r="B195" s="38" t="s">
        <v>354</v>
      </c>
      <c r="C195" s="77">
        <v>170111</v>
      </c>
      <c r="D195" s="33" t="s">
        <v>139</v>
      </c>
      <c r="E195" s="34" t="s">
        <v>4</v>
      </c>
      <c r="F195" s="35">
        <v>4</v>
      </c>
      <c r="G195" s="129">
        <v>77.17</v>
      </c>
      <c r="H195" s="129"/>
      <c r="I195" s="139">
        <f>ROUND(F195*G195,2)</f>
        <v>308.68</v>
      </c>
      <c r="J195" s="96"/>
      <c r="K195" s="238"/>
    </row>
    <row r="196" spans="1:11" ht="24">
      <c r="A196" s="78" t="s">
        <v>587</v>
      </c>
      <c r="B196" s="38" t="s">
        <v>354</v>
      </c>
      <c r="C196" s="77">
        <v>170115</v>
      </c>
      <c r="D196" s="33" t="s">
        <v>371</v>
      </c>
      <c r="E196" s="34" t="s">
        <v>4</v>
      </c>
      <c r="F196" s="35">
        <v>8</v>
      </c>
      <c r="G196" s="129">
        <v>294.66</v>
      </c>
      <c r="H196" s="129"/>
      <c r="I196" s="139">
        <f>ROUND(F196*G196,2)</f>
        <v>2357.28</v>
      </c>
      <c r="J196" s="96"/>
      <c r="K196" s="142"/>
    </row>
    <row r="197" spans="1:11" ht="15">
      <c r="A197" s="78" t="s">
        <v>588</v>
      </c>
      <c r="B197" s="38" t="s">
        <v>354</v>
      </c>
      <c r="C197" s="77">
        <v>170129</v>
      </c>
      <c r="D197" s="33" t="s">
        <v>140</v>
      </c>
      <c r="E197" s="34" t="s">
        <v>4</v>
      </c>
      <c r="F197" s="35">
        <v>5</v>
      </c>
      <c r="G197" s="129">
        <v>540.26</v>
      </c>
      <c r="H197" s="129"/>
      <c r="I197" s="139">
        <f>ROUND(F197*G197,2)</f>
        <v>2701.3</v>
      </c>
      <c r="J197" s="96"/>
      <c r="K197" s="142"/>
    </row>
    <row r="198" spans="1:12" ht="15">
      <c r="A198" s="102" t="s">
        <v>298</v>
      </c>
      <c r="B198" s="166"/>
      <c r="C198" s="103" t="s">
        <v>141</v>
      </c>
      <c r="D198" s="328" t="s">
        <v>142</v>
      </c>
      <c r="E198" s="329"/>
      <c r="F198" s="329"/>
      <c r="G198" s="329"/>
      <c r="H198" s="329"/>
      <c r="I198" s="329"/>
      <c r="J198" s="118"/>
      <c r="K198" s="130"/>
      <c r="L198" s="114"/>
    </row>
    <row r="199" spans="1:11" ht="15">
      <c r="A199" s="78" t="s">
        <v>589</v>
      </c>
      <c r="B199" s="38" t="s">
        <v>354</v>
      </c>
      <c r="C199" s="77">
        <v>170220</v>
      </c>
      <c r="D199" s="33" t="s">
        <v>143</v>
      </c>
      <c r="E199" s="34" t="s">
        <v>6</v>
      </c>
      <c r="F199" s="35">
        <f>3.9+1.29+0.6+0.71+0.71+0.49+0.77+2.43+1.3+0.64+0.64</f>
        <v>13.48</v>
      </c>
      <c r="G199" s="129">
        <v>362.59</v>
      </c>
      <c r="H199" s="129"/>
      <c r="I199" s="139">
        <f>ROUND(F199*G199,2)</f>
        <v>4887.71</v>
      </c>
      <c r="J199" s="96"/>
      <c r="K199" s="142"/>
    </row>
    <row r="200" spans="1:12" ht="15">
      <c r="A200" s="102" t="s">
        <v>299</v>
      </c>
      <c r="B200" s="166"/>
      <c r="C200" s="103" t="s">
        <v>144</v>
      </c>
      <c r="D200" s="328" t="s">
        <v>145</v>
      </c>
      <c r="E200" s="329"/>
      <c r="F200" s="329"/>
      <c r="G200" s="329"/>
      <c r="H200" s="329"/>
      <c r="I200" s="329"/>
      <c r="J200" s="118"/>
      <c r="K200" s="130"/>
      <c r="L200" s="99"/>
    </row>
    <row r="201" spans="1:12" ht="24">
      <c r="A201" s="215" t="s">
        <v>300</v>
      </c>
      <c r="B201" s="38" t="s">
        <v>354</v>
      </c>
      <c r="C201" s="171">
        <v>170304</v>
      </c>
      <c r="D201" s="33" t="s">
        <v>146</v>
      </c>
      <c r="E201" s="34" t="s">
        <v>4</v>
      </c>
      <c r="F201" s="35">
        <v>12</v>
      </c>
      <c r="G201" s="277">
        <v>109.14</v>
      </c>
      <c r="H201" s="277"/>
      <c r="I201" s="96">
        <f>ROUND(F201*G201,2)</f>
        <v>1309.68</v>
      </c>
      <c r="J201" s="96"/>
      <c r="K201" s="130"/>
      <c r="L201" s="93"/>
    </row>
    <row r="202" spans="1:11" ht="15">
      <c r="A202" s="215" t="s">
        <v>301</v>
      </c>
      <c r="B202" s="38" t="s">
        <v>354</v>
      </c>
      <c r="C202" s="171">
        <v>170306</v>
      </c>
      <c r="D202" s="33" t="s">
        <v>147</v>
      </c>
      <c r="E202" s="34" t="s">
        <v>4</v>
      </c>
      <c r="F202" s="35">
        <v>2</v>
      </c>
      <c r="G202" s="277">
        <v>109.14</v>
      </c>
      <c r="H202" s="277"/>
      <c r="I202" s="96">
        <f>ROUND(F202*G202,2)</f>
        <v>218.28</v>
      </c>
      <c r="J202" s="96"/>
      <c r="K202" s="142"/>
    </row>
    <row r="203" spans="1:11" ht="15">
      <c r="A203" s="215" t="s">
        <v>590</v>
      </c>
      <c r="B203" s="38" t="s">
        <v>354</v>
      </c>
      <c r="C203" s="171">
        <v>170320</v>
      </c>
      <c r="D203" s="33" t="s">
        <v>181</v>
      </c>
      <c r="E203" s="34" t="s">
        <v>4</v>
      </c>
      <c r="F203" s="35">
        <v>7</v>
      </c>
      <c r="G203" s="277">
        <v>43.72</v>
      </c>
      <c r="H203" s="277"/>
      <c r="I203" s="96">
        <f>ROUND(F203*G203,2)</f>
        <v>306.04</v>
      </c>
      <c r="J203" s="96"/>
      <c r="K203" s="130"/>
    </row>
    <row r="204" spans="1:11" ht="24">
      <c r="A204" s="215" t="s">
        <v>591</v>
      </c>
      <c r="B204" s="38" t="s">
        <v>354</v>
      </c>
      <c r="C204" s="171">
        <v>170317</v>
      </c>
      <c r="D204" s="33" t="s">
        <v>386</v>
      </c>
      <c r="E204" s="34" t="s">
        <v>4</v>
      </c>
      <c r="F204" s="35">
        <v>3</v>
      </c>
      <c r="G204" s="277">
        <v>69.19</v>
      </c>
      <c r="H204" s="277"/>
      <c r="I204" s="96">
        <f>ROUND(F204*G204,2)</f>
        <v>207.57</v>
      </c>
      <c r="J204" s="96"/>
      <c r="K204" s="130"/>
    </row>
    <row r="205" spans="1:11" ht="24">
      <c r="A205" s="215" t="s">
        <v>592</v>
      </c>
      <c r="B205" s="38" t="s">
        <v>355</v>
      </c>
      <c r="C205" s="171">
        <v>90371</v>
      </c>
      <c r="D205" s="33" t="s">
        <v>392</v>
      </c>
      <c r="E205" s="34" t="s">
        <v>4</v>
      </c>
      <c r="F205" s="35">
        <v>1</v>
      </c>
      <c r="G205" s="277">
        <v>28.12</v>
      </c>
      <c r="H205" s="277">
        <f>G205*1.309</f>
        <v>36.80908</v>
      </c>
      <c r="I205" s="96">
        <f>ROUND(F205*H205,2)</f>
        <v>36.81</v>
      </c>
      <c r="J205" s="96"/>
      <c r="K205" s="130"/>
    </row>
    <row r="206" spans="1:11" ht="36">
      <c r="A206" s="215" t="s">
        <v>593</v>
      </c>
      <c r="B206" s="38" t="s">
        <v>355</v>
      </c>
      <c r="C206" s="171">
        <v>89987</v>
      </c>
      <c r="D206" s="33" t="s">
        <v>393</v>
      </c>
      <c r="E206" s="34" t="s">
        <v>4</v>
      </c>
      <c r="F206" s="35">
        <v>1</v>
      </c>
      <c r="G206" s="277">
        <v>65.73</v>
      </c>
      <c r="H206" s="277">
        <f>G206*1.309</f>
        <v>86.04057</v>
      </c>
      <c r="I206" s="96">
        <f>ROUND(F206*H206,2)</f>
        <v>86.04</v>
      </c>
      <c r="J206" s="96"/>
      <c r="K206" s="130"/>
    </row>
    <row r="207" spans="1:12" ht="15">
      <c r="A207" s="102" t="s">
        <v>302</v>
      </c>
      <c r="B207" s="166"/>
      <c r="C207" s="104">
        <v>1704</v>
      </c>
      <c r="D207" s="328" t="s">
        <v>148</v>
      </c>
      <c r="E207" s="329"/>
      <c r="F207" s="329"/>
      <c r="G207" s="329"/>
      <c r="H207" s="329"/>
      <c r="I207" s="329"/>
      <c r="J207" s="118"/>
      <c r="K207" s="130"/>
      <c r="L207" s="99"/>
    </row>
    <row r="208" spans="1:11" ht="24">
      <c r="A208" s="78" t="s">
        <v>303</v>
      </c>
      <c r="B208" s="38" t="s">
        <v>354</v>
      </c>
      <c r="C208" s="77">
        <v>170512</v>
      </c>
      <c r="D208" s="33" t="s">
        <v>149</v>
      </c>
      <c r="E208" s="34" t="s">
        <v>4</v>
      </c>
      <c r="F208" s="35">
        <v>4</v>
      </c>
      <c r="G208" s="129">
        <v>483.52</v>
      </c>
      <c r="H208" s="129"/>
      <c r="I208" s="139">
        <f>ROUND(F208*G208,2)</f>
        <v>1934.08</v>
      </c>
      <c r="J208" s="96"/>
      <c r="K208" s="130"/>
    </row>
    <row r="209" spans="1:11" ht="24">
      <c r="A209" s="78" t="s">
        <v>304</v>
      </c>
      <c r="B209" s="38" t="s">
        <v>354</v>
      </c>
      <c r="C209" s="77">
        <v>170528</v>
      </c>
      <c r="D209" s="33" t="s">
        <v>420</v>
      </c>
      <c r="E209" s="34" t="s">
        <v>4</v>
      </c>
      <c r="F209" s="35">
        <v>1</v>
      </c>
      <c r="G209" s="129">
        <v>2847.35</v>
      </c>
      <c r="H209" s="129"/>
      <c r="I209" s="139">
        <f>ROUND(F209*G209,2)</f>
        <v>2847.35</v>
      </c>
      <c r="J209" s="96"/>
      <c r="K209" s="130"/>
    </row>
    <row r="210" spans="1:11" ht="15">
      <c r="A210" s="78" t="s">
        <v>305</v>
      </c>
      <c r="B210" s="38" t="s">
        <v>354</v>
      </c>
      <c r="C210" s="77">
        <v>170541</v>
      </c>
      <c r="D210" s="236" t="s">
        <v>182</v>
      </c>
      <c r="E210" s="34" t="s">
        <v>4</v>
      </c>
      <c r="F210" s="35">
        <v>1</v>
      </c>
      <c r="G210" s="129">
        <v>193.93</v>
      </c>
      <c r="H210" s="129"/>
      <c r="I210" s="139">
        <f>ROUND(F210*G210,2)</f>
        <v>193.93</v>
      </c>
      <c r="J210" s="96"/>
      <c r="K210" s="142"/>
    </row>
    <row r="211" spans="1:11" ht="15">
      <c r="A211" s="78" t="s">
        <v>342</v>
      </c>
      <c r="B211" s="38" t="s">
        <v>354</v>
      </c>
      <c r="C211" s="77">
        <v>180809</v>
      </c>
      <c r="D211" s="33" t="s">
        <v>155</v>
      </c>
      <c r="E211" s="34" t="s">
        <v>4</v>
      </c>
      <c r="F211" s="35">
        <v>3</v>
      </c>
      <c r="G211" s="129">
        <v>88.83</v>
      </c>
      <c r="H211" s="129"/>
      <c r="I211" s="139">
        <f>ROUND(F211*G211,2)</f>
        <v>266.49</v>
      </c>
      <c r="J211" s="96"/>
      <c r="K211" s="142"/>
    </row>
    <row r="212" spans="1:11" ht="15">
      <c r="A212" s="78" t="s">
        <v>343</v>
      </c>
      <c r="B212" s="38" t="s">
        <v>354</v>
      </c>
      <c r="C212" s="77">
        <v>170546</v>
      </c>
      <c r="D212" s="237" t="s">
        <v>150</v>
      </c>
      <c r="E212" s="34" t="s">
        <v>4</v>
      </c>
      <c r="F212" s="35">
        <v>1</v>
      </c>
      <c r="G212" s="129">
        <v>314.07</v>
      </c>
      <c r="H212" s="129"/>
      <c r="I212" s="139">
        <f>ROUND(F212*G212,2)</f>
        <v>314.07</v>
      </c>
      <c r="J212" s="96"/>
      <c r="K212" s="130"/>
    </row>
    <row r="213" spans="1:12" ht="15">
      <c r="A213" s="108"/>
      <c r="B213" s="164"/>
      <c r="C213" s="391" t="s">
        <v>109</v>
      </c>
      <c r="D213" s="343"/>
      <c r="E213" s="343"/>
      <c r="F213" s="343"/>
      <c r="G213" s="343"/>
      <c r="H213" s="343"/>
      <c r="I213" s="344"/>
      <c r="J213" s="120">
        <f>SUM(I193:I212)</f>
        <v>18512.870000000003</v>
      </c>
      <c r="K213" s="130"/>
      <c r="L213" s="99"/>
    </row>
    <row r="214" spans="1:12" ht="15.75" thickBot="1">
      <c r="A214" s="79"/>
      <c r="B214" s="152"/>
      <c r="C214" s="143"/>
      <c r="D214" s="143"/>
      <c r="E214" s="143"/>
      <c r="F214" s="143"/>
      <c r="G214" s="143"/>
      <c r="H214" s="143"/>
      <c r="I214" s="117"/>
      <c r="J214" s="122"/>
      <c r="K214" s="130"/>
      <c r="L214" s="99"/>
    </row>
    <row r="215" spans="1:12" ht="15.75" thickBot="1">
      <c r="A215" s="296">
        <v>15</v>
      </c>
      <c r="B215" s="297"/>
      <c r="C215" s="298" t="s">
        <v>110</v>
      </c>
      <c r="D215" s="341" t="s">
        <v>111</v>
      </c>
      <c r="E215" s="341"/>
      <c r="F215" s="341"/>
      <c r="G215" s="342"/>
      <c r="H215" s="296"/>
      <c r="I215" s="297"/>
      <c r="J215" s="298"/>
      <c r="K215" s="130"/>
      <c r="L215" s="99"/>
    </row>
    <row r="216" spans="1:12" ht="15">
      <c r="A216" s="102" t="s">
        <v>306</v>
      </c>
      <c r="B216" s="166"/>
      <c r="C216" s="103" t="s">
        <v>112</v>
      </c>
      <c r="D216" s="328" t="s">
        <v>113</v>
      </c>
      <c r="E216" s="329"/>
      <c r="F216" s="329"/>
      <c r="G216" s="329"/>
      <c r="H216" s="329"/>
      <c r="I216" s="329"/>
      <c r="J216" s="118"/>
      <c r="K216" s="253"/>
      <c r="L216" s="99"/>
    </row>
    <row r="217" spans="1:12" ht="36">
      <c r="A217" s="84" t="s">
        <v>307</v>
      </c>
      <c r="B217" s="163" t="s">
        <v>354</v>
      </c>
      <c r="C217" s="85">
        <v>150123</v>
      </c>
      <c r="D217" s="86" t="s">
        <v>114</v>
      </c>
      <c r="E217" s="87" t="s">
        <v>4</v>
      </c>
      <c r="F217" s="88">
        <v>1</v>
      </c>
      <c r="G217" s="138">
        <v>2252.92</v>
      </c>
      <c r="H217" s="138"/>
      <c r="I217" s="140">
        <f>ROUND(G217*F217,2)</f>
        <v>2252.92</v>
      </c>
      <c r="J217" s="97"/>
      <c r="K217" s="228"/>
      <c r="L217" s="99"/>
    </row>
    <row r="218" spans="1:12" s="204" customFormat="1" ht="15">
      <c r="A218" s="102" t="s">
        <v>308</v>
      </c>
      <c r="B218" s="166"/>
      <c r="C218" s="104">
        <v>1502</v>
      </c>
      <c r="D218" s="328" t="s">
        <v>115</v>
      </c>
      <c r="E218" s="329"/>
      <c r="F218" s="329"/>
      <c r="G218" s="329"/>
      <c r="H218" s="329"/>
      <c r="I218" s="329"/>
      <c r="J218" s="118"/>
      <c r="K218" s="142"/>
      <c r="L218" s="203"/>
    </row>
    <row r="219" spans="1:11" ht="23.25" customHeight="1">
      <c r="A219" s="78" t="s">
        <v>309</v>
      </c>
      <c r="B219" s="216" t="s">
        <v>354</v>
      </c>
      <c r="C219" s="77">
        <v>151901</v>
      </c>
      <c r="D219" s="33" t="s">
        <v>425</v>
      </c>
      <c r="E219" s="34" t="s">
        <v>4</v>
      </c>
      <c r="F219" s="35">
        <v>1</v>
      </c>
      <c r="G219" s="129">
        <v>427.19</v>
      </c>
      <c r="H219" s="129"/>
      <c r="I219" s="139">
        <f>ROUND(F219*G219,2)</f>
        <v>427.19</v>
      </c>
      <c r="J219" s="96"/>
      <c r="K219" s="130"/>
    </row>
    <row r="220" spans="1:11" ht="36">
      <c r="A220" s="78" t="s">
        <v>310</v>
      </c>
      <c r="B220" s="216" t="s">
        <v>354</v>
      </c>
      <c r="C220" s="77">
        <v>151902</v>
      </c>
      <c r="D220" s="231" t="s">
        <v>426</v>
      </c>
      <c r="E220" s="34" t="s">
        <v>4</v>
      </c>
      <c r="F220" s="35">
        <v>1</v>
      </c>
      <c r="G220" s="129">
        <v>493.17</v>
      </c>
      <c r="H220" s="129"/>
      <c r="I220" s="139">
        <f>ROUND(F220*G220,2)</f>
        <v>493.17</v>
      </c>
      <c r="J220" s="96"/>
      <c r="K220" s="130"/>
    </row>
    <row r="221" spans="1:12" s="204" customFormat="1" ht="15">
      <c r="A221" s="102" t="s">
        <v>311</v>
      </c>
      <c r="B221" s="166"/>
      <c r="C221" s="104">
        <v>1506</v>
      </c>
      <c r="D221" s="328" t="s">
        <v>428</v>
      </c>
      <c r="E221" s="329"/>
      <c r="F221" s="329"/>
      <c r="G221" s="329"/>
      <c r="H221" s="329"/>
      <c r="I221" s="329"/>
      <c r="J221" s="118"/>
      <c r="K221" s="130"/>
      <c r="L221" s="203"/>
    </row>
    <row r="222" spans="1:11" ht="24">
      <c r="A222" s="78" t="s">
        <v>312</v>
      </c>
      <c r="B222" s="226" t="s">
        <v>355</v>
      </c>
      <c r="C222" s="77">
        <v>91940</v>
      </c>
      <c r="D222" s="33" t="s">
        <v>429</v>
      </c>
      <c r="E222" s="34" t="s">
        <v>4</v>
      </c>
      <c r="F222" s="35">
        <v>73</v>
      </c>
      <c r="G222" s="129">
        <v>10.83</v>
      </c>
      <c r="H222" s="129">
        <f>G222*1.309</f>
        <v>14.17647</v>
      </c>
      <c r="I222" s="139">
        <f>ROUND(H222*F222,2)</f>
        <v>1034.88</v>
      </c>
      <c r="J222" s="96"/>
      <c r="K222" s="130"/>
    </row>
    <row r="223" spans="1:11" ht="24">
      <c r="A223" s="78" t="s">
        <v>359</v>
      </c>
      <c r="B223" s="226" t="s">
        <v>355</v>
      </c>
      <c r="C223" s="77">
        <v>91937</v>
      </c>
      <c r="D223" s="36" t="s">
        <v>427</v>
      </c>
      <c r="E223" s="34" t="s">
        <v>191</v>
      </c>
      <c r="F223" s="35">
        <v>46</v>
      </c>
      <c r="G223" s="129">
        <v>8.4</v>
      </c>
      <c r="H223" s="129">
        <f>G223*1.309</f>
        <v>10.9956</v>
      </c>
      <c r="I223" s="139">
        <f>ROUND(H223*F223,2)</f>
        <v>505.8</v>
      </c>
      <c r="J223" s="96"/>
      <c r="K223" s="130"/>
    </row>
    <row r="224" spans="1:13" ht="15">
      <c r="A224" s="102" t="s">
        <v>313</v>
      </c>
      <c r="B224" s="166"/>
      <c r="C224" s="104">
        <v>1509</v>
      </c>
      <c r="D224" s="328" t="s">
        <v>116</v>
      </c>
      <c r="E224" s="329"/>
      <c r="F224" s="329"/>
      <c r="G224" s="329"/>
      <c r="H224" s="329"/>
      <c r="I224" s="329"/>
      <c r="J224" s="118"/>
      <c r="K224" s="130"/>
      <c r="L224" s="99"/>
      <c r="M224" s="113"/>
    </row>
    <row r="225" spans="1:13" ht="15">
      <c r="A225" s="84" t="s">
        <v>314</v>
      </c>
      <c r="B225" s="163" t="s">
        <v>354</v>
      </c>
      <c r="C225" s="85">
        <v>150918</v>
      </c>
      <c r="D225" s="86" t="s">
        <v>117</v>
      </c>
      <c r="E225" s="87" t="s">
        <v>4</v>
      </c>
      <c r="F225" s="88">
        <v>5</v>
      </c>
      <c r="G225" s="138">
        <v>24.79</v>
      </c>
      <c r="H225" s="138"/>
      <c r="I225" s="140">
        <f>ROUND(G225*F225,2)</f>
        <v>123.95</v>
      </c>
      <c r="J225" s="97"/>
      <c r="K225" s="130"/>
      <c r="L225" s="99"/>
      <c r="M225" s="113"/>
    </row>
    <row r="226" spans="1:12" s="204" customFormat="1" ht="15">
      <c r="A226" s="102" t="s">
        <v>315</v>
      </c>
      <c r="B226" s="166"/>
      <c r="C226" s="104">
        <v>1511</v>
      </c>
      <c r="D226" s="328" t="s">
        <v>118</v>
      </c>
      <c r="E226" s="329"/>
      <c r="F226" s="329"/>
      <c r="G226" s="329"/>
      <c r="H226" s="329"/>
      <c r="I226" s="329"/>
      <c r="J226" s="118"/>
      <c r="K226" s="109"/>
      <c r="L226" s="203"/>
    </row>
    <row r="227" spans="1:11" ht="15">
      <c r="A227" s="78" t="s">
        <v>594</v>
      </c>
      <c r="B227" s="38" t="s">
        <v>354</v>
      </c>
      <c r="C227" s="170">
        <v>151133</v>
      </c>
      <c r="D227" s="234" t="s">
        <v>430</v>
      </c>
      <c r="E227" s="235" t="s">
        <v>188</v>
      </c>
      <c r="F227" s="161">
        <v>551.3</v>
      </c>
      <c r="G227" s="283">
        <v>8.65</v>
      </c>
      <c r="H227" s="283"/>
      <c r="I227" s="139">
        <f>ROUND(G227*F227,2)</f>
        <v>4768.75</v>
      </c>
      <c r="J227" s="284"/>
      <c r="K227" s="109"/>
    </row>
    <row r="228" spans="1:12" s="204" customFormat="1" ht="15">
      <c r="A228" s="102" t="s">
        <v>316</v>
      </c>
      <c r="B228" s="166"/>
      <c r="C228" s="104">
        <v>1508</v>
      </c>
      <c r="D228" s="328" t="s">
        <v>432</v>
      </c>
      <c r="E228" s="329"/>
      <c r="F228" s="329"/>
      <c r="G228" s="329"/>
      <c r="H228" s="329"/>
      <c r="I228" s="329"/>
      <c r="J228" s="118"/>
      <c r="K228" s="109"/>
      <c r="L228" s="203"/>
    </row>
    <row r="229" spans="1:11" ht="36">
      <c r="A229" s="78" t="s">
        <v>317</v>
      </c>
      <c r="B229" s="38" t="s">
        <v>355</v>
      </c>
      <c r="C229" s="77">
        <v>93653</v>
      </c>
      <c r="D229" s="36" t="s">
        <v>433</v>
      </c>
      <c r="E229" s="34" t="s">
        <v>190</v>
      </c>
      <c r="F229" s="109">
        <v>4</v>
      </c>
      <c r="G229" s="129">
        <v>9.58</v>
      </c>
      <c r="H229" s="129">
        <f>G229*1.309</f>
        <v>12.54022</v>
      </c>
      <c r="I229" s="285">
        <f>ROUND(H229*F229,2)</f>
        <v>50.16</v>
      </c>
      <c r="J229" s="286"/>
      <c r="K229" s="130"/>
    </row>
    <row r="230" spans="1:11" ht="36">
      <c r="A230" s="78" t="s">
        <v>318</v>
      </c>
      <c r="B230" s="38" t="s">
        <v>355</v>
      </c>
      <c r="C230" s="77">
        <v>93654</v>
      </c>
      <c r="D230" s="33" t="s">
        <v>434</v>
      </c>
      <c r="E230" s="34" t="s">
        <v>4</v>
      </c>
      <c r="F230" s="35">
        <v>7</v>
      </c>
      <c r="G230" s="129">
        <v>10.04</v>
      </c>
      <c r="H230" s="129">
        <f>G230*1.309</f>
        <v>13.142359999999998</v>
      </c>
      <c r="I230" s="285">
        <f>ROUND(H230*F230,2)</f>
        <v>92</v>
      </c>
      <c r="J230" s="96"/>
      <c r="K230" s="142"/>
    </row>
    <row r="231" spans="1:11" ht="36">
      <c r="A231" s="78" t="s">
        <v>319</v>
      </c>
      <c r="B231" s="38" t="s">
        <v>355</v>
      </c>
      <c r="C231" s="77">
        <v>93655</v>
      </c>
      <c r="D231" s="33" t="s">
        <v>435</v>
      </c>
      <c r="E231" s="34" t="s">
        <v>4</v>
      </c>
      <c r="F231" s="35">
        <v>4</v>
      </c>
      <c r="G231" s="283">
        <v>10.8</v>
      </c>
      <c r="H231" s="129">
        <f>G231*1.309</f>
        <v>14.1372</v>
      </c>
      <c r="I231" s="285">
        <f>ROUND(H231*F231,2)</f>
        <v>56.55</v>
      </c>
      <c r="J231" s="96"/>
      <c r="K231" s="130"/>
    </row>
    <row r="232" spans="1:11" ht="36">
      <c r="A232" s="78" t="s">
        <v>320</v>
      </c>
      <c r="B232" s="38" t="s">
        <v>355</v>
      </c>
      <c r="C232" s="77">
        <v>93658</v>
      </c>
      <c r="D232" s="33" t="s">
        <v>436</v>
      </c>
      <c r="E232" s="34" t="s">
        <v>4</v>
      </c>
      <c r="F232" s="35">
        <v>1</v>
      </c>
      <c r="G232" s="129">
        <v>17.2</v>
      </c>
      <c r="H232" s="129">
        <f>G232*1.309</f>
        <v>22.514799999999997</v>
      </c>
      <c r="I232" s="285">
        <f>ROUND(H232*F232,2)</f>
        <v>22.51</v>
      </c>
      <c r="J232" s="96"/>
      <c r="K232" s="130"/>
    </row>
    <row r="233" spans="1:11" ht="36">
      <c r="A233" s="78" t="s">
        <v>321</v>
      </c>
      <c r="B233" s="38" t="s">
        <v>355</v>
      </c>
      <c r="C233" s="77">
        <v>93659</v>
      </c>
      <c r="D233" s="33" t="s">
        <v>437</v>
      </c>
      <c r="E233" s="34" t="s">
        <v>4</v>
      </c>
      <c r="F233" s="35">
        <v>1</v>
      </c>
      <c r="G233" s="129">
        <v>19.24</v>
      </c>
      <c r="H233" s="129">
        <f>G233*1.309</f>
        <v>25.185159999999996</v>
      </c>
      <c r="I233" s="285">
        <f>ROUND(H233*F233,2)</f>
        <v>25.19</v>
      </c>
      <c r="J233" s="96"/>
      <c r="K233" s="142"/>
    </row>
    <row r="234" spans="1:11" ht="24">
      <c r="A234" s="78" t="s">
        <v>322</v>
      </c>
      <c r="B234" s="38" t="s">
        <v>354</v>
      </c>
      <c r="C234" s="77">
        <v>151313</v>
      </c>
      <c r="D234" s="33" t="s">
        <v>438</v>
      </c>
      <c r="E234" s="34" t="s">
        <v>4</v>
      </c>
      <c r="F234" s="35">
        <v>2</v>
      </c>
      <c r="G234" s="129">
        <v>156.71</v>
      </c>
      <c r="H234" s="129"/>
      <c r="I234" s="285">
        <f>ROUND(G234*F234,2)</f>
        <v>313.42</v>
      </c>
      <c r="J234" s="96"/>
      <c r="K234" s="255"/>
    </row>
    <row r="235" spans="1:11" ht="15">
      <c r="A235" s="78" t="s">
        <v>595</v>
      </c>
      <c r="B235" s="38" t="s">
        <v>354</v>
      </c>
      <c r="C235" s="232">
        <v>151350</v>
      </c>
      <c r="D235" s="233" t="s">
        <v>431</v>
      </c>
      <c r="E235" s="34" t="s">
        <v>4</v>
      </c>
      <c r="F235" s="35">
        <v>2</v>
      </c>
      <c r="G235" s="129">
        <v>144.12</v>
      </c>
      <c r="H235" s="129"/>
      <c r="I235" s="285">
        <f>ROUND(G235*F235,2)</f>
        <v>288.24</v>
      </c>
      <c r="J235" s="96"/>
      <c r="K235" s="255"/>
    </row>
    <row r="236" spans="1:12" s="204" customFormat="1" ht="15">
      <c r="A236" s="102" t="s">
        <v>323</v>
      </c>
      <c r="B236" s="166"/>
      <c r="C236" s="104"/>
      <c r="D236" s="328" t="s">
        <v>443</v>
      </c>
      <c r="E236" s="329"/>
      <c r="F236" s="329"/>
      <c r="G236" s="329"/>
      <c r="H236" s="329"/>
      <c r="I236" s="329"/>
      <c r="J236" s="118"/>
      <c r="K236" s="255"/>
      <c r="L236" s="203"/>
    </row>
    <row r="237" spans="1:11" ht="24">
      <c r="A237" s="78" t="s">
        <v>324</v>
      </c>
      <c r="B237" s="38" t="s">
        <v>354</v>
      </c>
      <c r="C237" s="232">
        <v>180201</v>
      </c>
      <c r="D237" s="233" t="s">
        <v>444</v>
      </c>
      <c r="E237" s="34" t="s">
        <v>4</v>
      </c>
      <c r="F237" s="35">
        <f>5+11+24</f>
        <v>40</v>
      </c>
      <c r="G237" s="277">
        <v>28.16</v>
      </c>
      <c r="H237" s="277"/>
      <c r="I237" s="286">
        <f>ROUND(F237*G237,2)</f>
        <v>1126.4</v>
      </c>
      <c r="J237" s="96"/>
      <c r="K237" s="255"/>
    </row>
    <row r="238" spans="1:11" ht="24">
      <c r="A238" s="78" t="s">
        <v>325</v>
      </c>
      <c r="B238" s="38" t="s">
        <v>354</v>
      </c>
      <c r="C238" s="232">
        <v>180202</v>
      </c>
      <c r="D238" s="233" t="s">
        <v>445</v>
      </c>
      <c r="E238" s="34" t="s">
        <v>4</v>
      </c>
      <c r="F238" s="35">
        <v>7</v>
      </c>
      <c r="G238" s="277">
        <v>33.18</v>
      </c>
      <c r="H238" s="277"/>
      <c r="I238" s="286">
        <f>ROUND(F238*G238,2)</f>
        <v>232.26</v>
      </c>
      <c r="J238" s="96"/>
      <c r="K238" s="255"/>
    </row>
    <row r="239" spans="1:11" ht="15">
      <c r="A239" s="78" t="s">
        <v>596</v>
      </c>
      <c r="B239" s="38" t="s">
        <v>354</v>
      </c>
      <c r="C239" s="232">
        <v>180204</v>
      </c>
      <c r="D239" s="233" t="s">
        <v>446</v>
      </c>
      <c r="E239" s="34" t="s">
        <v>4</v>
      </c>
      <c r="F239" s="35">
        <v>18</v>
      </c>
      <c r="G239" s="277">
        <v>24.35</v>
      </c>
      <c r="H239" s="277"/>
      <c r="I239" s="286">
        <f>ROUND(F239*G239,2)</f>
        <v>438.3</v>
      </c>
      <c r="J239" s="96"/>
      <c r="K239" s="255"/>
    </row>
    <row r="240" spans="1:11" ht="15">
      <c r="A240" s="78" t="s">
        <v>326</v>
      </c>
      <c r="B240" s="38" t="s">
        <v>354</v>
      </c>
      <c r="C240" s="232">
        <v>180206</v>
      </c>
      <c r="D240" s="233" t="s">
        <v>447</v>
      </c>
      <c r="E240" s="34" t="s">
        <v>4</v>
      </c>
      <c r="F240" s="35">
        <v>2</v>
      </c>
      <c r="G240" s="277">
        <v>29.26</v>
      </c>
      <c r="H240" s="277"/>
      <c r="I240" s="286">
        <f>ROUND(F240*G240,2)</f>
        <v>58.52</v>
      </c>
      <c r="J240" s="96"/>
      <c r="K240" s="142"/>
    </row>
    <row r="241" spans="1:12" s="204" customFormat="1" ht="15">
      <c r="A241" s="102" t="s">
        <v>597</v>
      </c>
      <c r="B241" s="166"/>
      <c r="C241" s="104">
        <v>1514</v>
      </c>
      <c r="D241" s="328" t="s">
        <v>119</v>
      </c>
      <c r="E241" s="329"/>
      <c r="F241" s="329"/>
      <c r="G241" s="329"/>
      <c r="H241" s="329"/>
      <c r="I241" s="329"/>
      <c r="J241" s="118"/>
      <c r="K241" s="142"/>
      <c r="L241" s="203"/>
    </row>
    <row r="242" spans="1:11" ht="15">
      <c r="A242" s="78" t="s">
        <v>598</v>
      </c>
      <c r="B242" s="38" t="s">
        <v>354</v>
      </c>
      <c r="C242" s="77">
        <v>151402</v>
      </c>
      <c r="D242" s="33" t="s">
        <v>120</v>
      </c>
      <c r="E242" s="34" t="s">
        <v>13</v>
      </c>
      <c r="F242" s="35">
        <v>756.1</v>
      </c>
      <c r="G242" s="129">
        <v>5.2</v>
      </c>
      <c r="H242" s="129"/>
      <c r="I242" s="139">
        <f>ROUND(G242*F242,2)</f>
        <v>3931.72</v>
      </c>
      <c r="J242" s="96"/>
      <c r="K242" s="230"/>
    </row>
    <row r="243" spans="1:11" ht="15">
      <c r="A243" s="78" t="s">
        <v>599</v>
      </c>
      <c r="B243" s="38" t="s">
        <v>354</v>
      </c>
      <c r="C243" s="77">
        <v>151403</v>
      </c>
      <c r="D243" s="33" t="s">
        <v>121</v>
      </c>
      <c r="E243" s="34" t="s">
        <v>13</v>
      </c>
      <c r="F243" s="35">
        <v>174.9</v>
      </c>
      <c r="G243" s="129">
        <v>6.4</v>
      </c>
      <c r="H243" s="129"/>
      <c r="I243" s="139">
        <f>ROUND(G243*F243,2)</f>
        <v>1119.36</v>
      </c>
      <c r="J243" s="96"/>
      <c r="K243" s="130"/>
    </row>
    <row r="244" spans="1:11" ht="15">
      <c r="A244" s="78" t="s">
        <v>600</v>
      </c>
      <c r="B244" s="38" t="s">
        <v>354</v>
      </c>
      <c r="C244" s="77">
        <v>151405</v>
      </c>
      <c r="D244" s="33" t="s">
        <v>122</v>
      </c>
      <c r="E244" s="34" t="s">
        <v>13</v>
      </c>
      <c r="F244" s="35">
        <v>35.2</v>
      </c>
      <c r="G244" s="129">
        <v>10.64</v>
      </c>
      <c r="H244" s="129"/>
      <c r="I244" s="139">
        <f>ROUND(G244*F244,2)</f>
        <v>374.53</v>
      </c>
      <c r="J244" s="96"/>
      <c r="K244" s="130"/>
    </row>
    <row r="245" spans="1:11" ht="15">
      <c r="A245" s="78" t="s">
        <v>601</v>
      </c>
      <c r="B245" s="38" t="s">
        <v>354</v>
      </c>
      <c r="C245" s="77">
        <v>151406</v>
      </c>
      <c r="D245" s="33" t="s">
        <v>123</v>
      </c>
      <c r="E245" s="34" t="s">
        <v>13</v>
      </c>
      <c r="F245" s="35">
        <v>186.7</v>
      </c>
      <c r="G245" s="129">
        <v>14.43</v>
      </c>
      <c r="H245" s="129"/>
      <c r="I245" s="139">
        <f>ROUND(G245*F245,2)</f>
        <v>2694.08</v>
      </c>
      <c r="J245" s="96"/>
      <c r="K245" s="130"/>
    </row>
    <row r="246" spans="1:11" ht="15">
      <c r="A246" s="78" t="s">
        <v>602</v>
      </c>
      <c r="B246" s="38" t="s">
        <v>354</v>
      </c>
      <c r="C246" s="77">
        <v>151407</v>
      </c>
      <c r="D246" s="231" t="s">
        <v>424</v>
      </c>
      <c r="E246" s="34" t="s">
        <v>13</v>
      </c>
      <c r="F246" s="35">
        <v>373.4</v>
      </c>
      <c r="G246" s="129">
        <v>19.86</v>
      </c>
      <c r="H246" s="129"/>
      <c r="I246" s="139">
        <f>ROUND(G246*F246,2)</f>
        <v>7415.72</v>
      </c>
      <c r="J246" s="96"/>
      <c r="K246" s="130"/>
    </row>
    <row r="247" spans="1:12" s="204" customFormat="1" ht="15">
      <c r="A247" s="102" t="s">
        <v>327</v>
      </c>
      <c r="B247" s="166"/>
      <c r="C247" s="104"/>
      <c r="D247" s="393" t="s">
        <v>449</v>
      </c>
      <c r="E247" s="394"/>
      <c r="F247" s="394"/>
      <c r="G247" s="394"/>
      <c r="H247" s="394"/>
      <c r="I247" s="394"/>
      <c r="J247" s="118"/>
      <c r="K247" s="130"/>
      <c r="L247" s="203"/>
    </row>
    <row r="248" spans="1:11" ht="36">
      <c r="A248" s="215" t="s">
        <v>328</v>
      </c>
      <c r="B248" s="38" t="s">
        <v>354</v>
      </c>
      <c r="C248" s="171">
        <v>180102</v>
      </c>
      <c r="D248" s="36" t="s">
        <v>448</v>
      </c>
      <c r="E248" s="34" t="s">
        <v>4</v>
      </c>
      <c r="F248" s="35">
        <v>20</v>
      </c>
      <c r="G248" s="277">
        <v>112.23</v>
      </c>
      <c r="H248" s="277"/>
      <c r="I248" s="96">
        <f>ROUND(F248*G248,2)</f>
        <v>2244.6</v>
      </c>
      <c r="J248" s="96"/>
      <c r="K248" s="130"/>
    </row>
    <row r="249" spans="1:11" ht="36">
      <c r="A249" s="215" t="s">
        <v>603</v>
      </c>
      <c r="B249" s="38" t="s">
        <v>354</v>
      </c>
      <c r="C249" s="171">
        <v>180109</v>
      </c>
      <c r="D249" s="36" t="s">
        <v>450</v>
      </c>
      <c r="E249" s="34" t="s">
        <v>4</v>
      </c>
      <c r="F249" s="35">
        <v>15</v>
      </c>
      <c r="G249" s="277">
        <v>74.59</v>
      </c>
      <c r="H249" s="277"/>
      <c r="I249" s="96">
        <f>ROUND(F249*G249,2)</f>
        <v>1118.85</v>
      </c>
      <c r="J249" s="96"/>
      <c r="K249" s="130"/>
    </row>
    <row r="250" spans="1:11" ht="15">
      <c r="A250" s="160" t="s">
        <v>604</v>
      </c>
      <c r="B250" s="206"/>
      <c r="C250" s="207">
        <v>1517</v>
      </c>
      <c r="D250" s="393" t="s">
        <v>124</v>
      </c>
      <c r="E250" s="394"/>
      <c r="F250" s="394"/>
      <c r="G250" s="394"/>
      <c r="H250" s="394"/>
      <c r="I250" s="394"/>
      <c r="J250" s="208"/>
      <c r="K250" s="130"/>
    </row>
    <row r="251" spans="1:11" ht="36">
      <c r="A251" s="84" t="s">
        <v>605</v>
      </c>
      <c r="B251" s="154" t="s">
        <v>354</v>
      </c>
      <c r="C251" s="85">
        <v>151708</v>
      </c>
      <c r="D251" s="155" t="s">
        <v>236</v>
      </c>
      <c r="E251" s="87" t="s">
        <v>4</v>
      </c>
      <c r="F251" s="88">
        <v>1</v>
      </c>
      <c r="G251" s="138">
        <v>7476.59</v>
      </c>
      <c r="H251" s="138"/>
      <c r="I251" s="140">
        <f>ROUND(F251*G251,2)</f>
        <v>7476.59</v>
      </c>
      <c r="J251" s="97"/>
      <c r="K251" s="130"/>
    </row>
    <row r="252" spans="1:11" ht="15">
      <c r="A252" s="108"/>
      <c r="B252" s="164"/>
      <c r="C252" s="391" t="s">
        <v>125</v>
      </c>
      <c r="D252" s="343"/>
      <c r="E252" s="343"/>
      <c r="F252" s="343"/>
      <c r="G252" s="343"/>
      <c r="H252" s="343"/>
      <c r="I252" s="344"/>
      <c r="J252" s="120">
        <f>SUM(I217:I251)</f>
        <v>38685.65999999999</v>
      </c>
      <c r="K252" s="142"/>
    </row>
    <row r="253" spans="1:11" ht="15.75" thickBot="1">
      <c r="A253" s="81"/>
      <c r="B253" s="165"/>
      <c r="C253" s="345"/>
      <c r="D253" s="346"/>
      <c r="E253" s="346"/>
      <c r="F253" s="346"/>
      <c r="G253" s="346"/>
      <c r="H253" s="347"/>
      <c r="I253" s="347"/>
      <c r="J253" s="146"/>
      <c r="K253" s="130"/>
    </row>
    <row r="254" spans="1:11" ht="15.75" thickBot="1">
      <c r="A254" s="296">
        <v>16</v>
      </c>
      <c r="B254" s="297"/>
      <c r="C254" s="298"/>
      <c r="D254" s="341" t="s">
        <v>126</v>
      </c>
      <c r="E254" s="341"/>
      <c r="F254" s="341"/>
      <c r="G254" s="342"/>
      <c r="H254" s="296"/>
      <c r="I254" s="297"/>
      <c r="J254" s="298"/>
      <c r="K254" s="130"/>
    </row>
    <row r="255" spans="1:11" ht="15">
      <c r="A255" s="102" t="s">
        <v>329</v>
      </c>
      <c r="B255" s="166"/>
      <c r="C255" s="103" t="s">
        <v>127</v>
      </c>
      <c r="D255" s="328" t="s">
        <v>128</v>
      </c>
      <c r="E255" s="329"/>
      <c r="F255" s="329"/>
      <c r="G255" s="329"/>
      <c r="H255" s="329"/>
      <c r="I255" s="329"/>
      <c r="J255" s="118"/>
      <c r="K255" s="130"/>
    </row>
    <row r="256" spans="1:11" ht="26.25" customHeight="1">
      <c r="A256" s="84" t="s">
        <v>330</v>
      </c>
      <c r="B256" s="38" t="s">
        <v>354</v>
      </c>
      <c r="C256" s="77">
        <v>160106</v>
      </c>
      <c r="D256" s="178" t="s">
        <v>129</v>
      </c>
      <c r="E256" s="34" t="s">
        <v>4</v>
      </c>
      <c r="F256" s="35">
        <v>1</v>
      </c>
      <c r="G256" s="129">
        <v>314.07</v>
      </c>
      <c r="H256" s="129"/>
      <c r="I256" s="139">
        <f>ROUND(F256*G256,2)</f>
        <v>314.07</v>
      </c>
      <c r="J256" s="96"/>
      <c r="K256" s="198"/>
    </row>
    <row r="257" spans="1:11" ht="15">
      <c r="A257" s="84" t="s">
        <v>331</v>
      </c>
      <c r="B257" s="38" t="s">
        <v>354</v>
      </c>
      <c r="C257" s="77">
        <v>160108</v>
      </c>
      <c r="D257" s="33" t="s">
        <v>130</v>
      </c>
      <c r="E257" s="34" t="s">
        <v>4</v>
      </c>
      <c r="F257" s="35">
        <v>2</v>
      </c>
      <c r="G257" s="129">
        <v>106.6</v>
      </c>
      <c r="H257" s="129"/>
      <c r="I257" s="139">
        <f>ROUND(F257*G257,2)</f>
        <v>213.2</v>
      </c>
      <c r="J257" s="96"/>
      <c r="K257" s="255"/>
    </row>
    <row r="258" spans="1:11" ht="15">
      <c r="A258" s="84" t="s">
        <v>332</v>
      </c>
      <c r="B258" s="38" t="s">
        <v>354</v>
      </c>
      <c r="C258" s="77">
        <v>160115</v>
      </c>
      <c r="D258" s="33" t="s">
        <v>131</v>
      </c>
      <c r="E258" s="34" t="s">
        <v>13</v>
      </c>
      <c r="F258" s="35">
        <v>30.6</v>
      </c>
      <c r="G258" s="129">
        <v>15.98</v>
      </c>
      <c r="H258" s="129"/>
      <c r="I258" s="139">
        <f>ROUND(F258*G258,2)</f>
        <v>488.99</v>
      </c>
      <c r="J258" s="96"/>
      <c r="K258" s="142"/>
    </row>
    <row r="259" spans="1:12" ht="15">
      <c r="A259" s="84" t="s">
        <v>333</v>
      </c>
      <c r="B259" s="38" t="s">
        <v>354</v>
      </c>
      <c r="C259" s="77">
        <v>160120</v>
      </c>
      <c r="D259" s="33" t="s">
        <v>132</v>
      </c>
      <c r="E259" s="34" t="s">
        <v>4</v>
      </c>
      <c r="F259" s="35">
        <v>4</v>
      </c>
      <c r="G259" s="129">
        <v>30.63</v>
      </c>
      <c r="H259" s="129"/>
      <c r="I259" s="139">
        <f>ROUND(F259*G259,2)</f>
        <v>122.52</v>
      </c>
      <c r="J259" s="96"/>
      <c r="K259" s="130"/>
      <c r="L259" s="99"/>
    </row>
    <row r="260" spans="1:12" s="204" customFormat="1" ht="15">
      <c r="A260" s="110" t="s">
        <v>606</v>
      </c>
      <c r="B260" s="169"/>
      <c r="C260" s="112">
        <v>1804</v>
      </c>
      <c r="D260" s="388" t="s">
        <v>152</v>
      </c>
      <c r="E260" s="389"/>
      <c r="F260" s="389"/>
      <c r="G260" s="389"/>
      <c r="H260" s="389"/>
      <c r="I260" s="389"/>
      <c r="J260" s="121"/>
      <c r="K260" s="198"/>
      <c r="L260" s="203"/>
    </row>
    <row r="261" spans="1:11" ht="36">
      <c r="A261" s="78" t="s">
        <v>607</v>
      </c>
      <c r="B261" s="226" t="s">
        <v>354</v>
      </c>
      <c r="C261" s="77">
        <v>180702</v>
      </c>
      <c r="D261" s="33" t="s">
        <v>153</v>
      </c>
      <c r="E261" s="34" t="s">
        <v>4</v>
      </c>
      <c r="F261" s="35">
        <v>10</v>
      </c>
      <c r="G261" s="129">
        <v>210.54</v>
      </c>
      <c r="H261" s="129"/>
      <c r="I261" s="139">
        <f>ROUND(F261*G261,2)</f>
        <v>2105.4</v>
      </c>
      <c r="J261" s="96"/>
      <c r="K261" s="255"/>
    </row>
    <row r="262" spans="1:11" ht="15">
      <c r="A262" s="110" t="s">
        <v>334</v>
      </c>
      <c r="B262" s="169"/>
      <c r="C262" s="112">
        <v>1805</v>
      </c>
      <c r="D262" s="388" t="s">
        <v>148</v>
      </c>
      <c r="E262" s="389"/>
      <c r="F262" s="389"/>
      <c r="G262" s="389"/>
      <c r="H262" s="389"/>
      <c r="I262" s="389"/>
      <c r="J262" s="121"/>
      <c r="K262" s="142"/>
    </row>
    <row r="263" spans="1:12" ht="15">
      <c r="A263" s="84" t="s">
        <v>335</v>
      </c>
      <c r="B263" s="127" t="s">
        <v>354</v>
      </c>
      <c r="C263" s="85">
        <v>180803</v>
      </c>
      <c r="D263" s="86" t="s">
        <v>154</v>
      </c>
      <c r="E263" s="87" t="s">
        <v>4</v>
      </c>
      <c r="F263" s="88">
        <v>1</v>
      </c>
      <c r="G263" s="138">
        <v>167.25</v>
      </c>
      <c r="H263" s="138"/>
      <c r="I263" s="140">
        <f>ROUND(F263*G263,2)</f>
        <v>167.25</v>
      </c>
      <c r="J263" s="97"/>
      <c r="K263" s="228"/>
      <c r="L263" s="99"/>
    </row>
    <row r="264" spans="1:12" ht="15">
      <c r="A264" s="84"/>
      <c r="B264" s="127"/>
      <c r="C264" s="391" t="s">
        <v>133</v>
      </c>
      <c r="D264" s="343"/>
      <c r="E264" s="343"/>
      <c r="F264" s="343"/>
      <c r="G264" s="343"/>
      <c r="H264" s="343"/>
      <c r="I264" s="344"/>
      <c r="J264" s="120">
        <f>SUM(I256:I263)</f>
        <v>3411.4300000000003</v>
      </c>
      <c r="K264" s="228"/>
      <c r="L264" s="99"/>
    </row>
    <row r="265" spans="1:12" ht="15.75" thickBot="1">
      <c r="A265" s="81"/>
      <c r="B265" s="165"/>
      <c r="C265" s="392"/>
      <c r="D265" s="392"/>
      <c r="E265" s="392"/>
      <c r="F265" s="392"/>
      <c r="G265" s="392"/>
      <c r="H265" s="392"/>
      <c r="I265" s="392"/>
      <c r="J265" s="146"/>
      <c r="K265" s="228"/>
      <c r="L265" s="99"/>
    </row>
    <row r="266" spans="1:12" ht="15.75" thickBot="1">
      <c r="A266" s="296">
        <v>17</v>
      </c>
      <c r="B266" s="297"/>
      <c r="C266" s="298"/>
      <c r="D266" s="341" t="s">
        <v>157</v>
      </c>
      <c r="E266" s="341"/>
      <c r="F266" s="341"/>
      <c r="G266" s="342"/>
      <c r="H266" s="296"/>
      <c r="I266" s="297"/>
      <c r="J266" s="298"/>
      <c r="K266" s="228"/>
      <c r="L266" s="99"/>
    </row>
    <row r="267" spans="1:12" ht="15">
      <c r="A267" s="110" t="s">
        <v>336</v>
      </c>
      <c r="B267" s="169"/>
      <c r="C267" s="111" t="s">
        <v>158</v>
      </c>
      <c r="D267" s="388" t="s">
        <v>159</v>
      </c>
      <c r="E267" s="389"/>
      <c r="F267" s="389"/>
      <c r="G267" s="389"/>
      <c r="H267" s="389"/>
      <c r="I267" s="389"/>
      <c r="J267" s="121"/>
      <c r="K267" s="228"/>
      <c r="L267" s="99"/>
    </row>
    <row r="268" spans="1:12" ht="24">
      <c r="A268" s="84" t="s">
        <v>337</v>
      </c>
      <c r="B268" s="127" t="s">
        <v>354</v>
      </c>
      <c r="C268" s="85">
        <v>190103</v>
      </c>
      <c r="D268" s="86" t="s">
        <v>160</v>
      </c>
      <c r="E268" s="87" t="s">
        <v>6</v>
      </c>
      <c r="F268" s="172">
        <f>'M Cálculo'!F252</f>
        <v>238.79000000000002</v>
      </c>
      <c r="G268" s="138">
        <v>16.17</v>
      </c>
      <c r="H268" s="138"/>
      <c r="I268" s="140">
        <f>ROUND(F268*G268,2)</f>
        <v>3861.23</v>
      </c>
      <c r="J268" s="97"/>
      <c r="K268" s="228"/>
      <c r="L268" s="99"/>
    </row>
    <row r="269" spans="1:12" ht="24">
      <c r="A269" s="84" t="s">
        <v>338</v>
      </c>
      <c r="B269" s="127" t="s">
        <v>354</v>
      </c>
      <c r="C269" s="85">
        <v>190106</v>
      </c>
      <c r="D269" s="86" t="s">
        <v>161</v>
      </c>
      <c r="E269" s="87" t="s">
        <v>6</v>
      </c>
      <c r="F269" s="172">
        <f>'M Cálculo'!F253</f>
        <v>654.2900000000001</v>
      </c>
      <c r="G269" s="138">
        <v>22.4</v>
      </c>
      <c r="H269" s="138"/>
      <c r="I269" s="140">
        <f>ROUND(F269*G269,2)</f>
        <v>14656.1</v>
      </c>
      <c r="J269" s="97"/>
      <c r="K269" s="228"/>
      <c r="L269" s="99"/>
    </row>
    <row r="270" spans="1:12" ht="15">
      <c r="A270" s="84" t="s">
        <v>339</v>
      </c>
      <c r="B270" s="127" t="s">
        <v>354</v>
      </c>
      <c r="C270" s="85">
        <v>190114</v>
      </c>
      <c r="D270" s="86" t="s">
        <v>162</v>
      </c>
      <c r="E270" s="87" t="s">
        <v>6</v>
      </c>
      <c r="F270" s="172">
        <f>'M Cálculo'!F254</f>
        <v>418.82000000000005</v>
      </c>
      <c r="G270" s="138">
        <v>5.03</v>
      </c>
      <c r="H270" s="138"/>
      <c r="I270" s="140">
        <f>ROUND(F270*G270,2)</f>
        <v>2106.66</v>
      </c>
      <c r="J270" s="97"/>
      <c r="K270" s="228"/>
      <c r="L270" s="99"/>
    </row>
    <row r="271" spans="1:12" ht="15">
      <c r="A271" s="108"/>
      <c r="B271" s="164"/>
      <c r="C271" s="338" t="s">
        <v>151</v>
      </c>
      <c r="D271" s="339"/>
      <c r="E271" s="339"/>
      <c r="F271" s="339"/>
      <c r="G271" s="339"/>
      <c r="H271" s="339"/>
      <c r="I271" s="340"/>
      <c r="J271" s="120">
        <f>SUM(I268:I270)</f>
        <v>20623.99</v>
      </c>
      <c r="K271" s="228"/>
      <c r="L271" s="99"/>
    </row>
    <row r="272" spans="1:12" ht="15.75" thickBot="1">
      <c r="A272" s="81"/>
      <c r="B272" s="165"/>
      <c r="C272" s="390"/>
      <c r="D272" s="390"/>
      <c r="E272" s="390"/>
      <c r="F272" s="390"/>
      <c r="G272" s="390"/>
      <c r="H272" s="390"/>
      <c r="I272" s="390"/>
      <c r="J272" s="147"/>
      <c r="K272" s="228"/>
      <c r="L272" s="99"/>
    </row>
    <row r="273" spans="1:12" ht="15.75" thickBot="1">
      <c r="A273" s="296">
        <v>18</v>
      </c>
      <c r="B273" s="297"/>
      <c r="C273" s="298"/>
      <c r="D273" s="341" t="s">
        <v>164</v>
      </c>
      <c r="E273" s="341"/>
      <c r="F273" s="341"/>
      <c r="G273" s="342"/>
      <c r="H273" s="296"/>
      <c r="I273" s="297"/>
      <c r="J273" s="298"/>
      <c r="K273" s="228"/>
      <c r="L273" s="99"/>
    </row>
    <row r="274" spans="1:12" ht="15">
      <c r="A274" s="102" t="s">
        <v>608</v>
      </c>
      <c r="B274" s="166"/>
      <c r="C274" s="104">
        <v>2001</v>
      </c>
      <c r="D274" s="328" t="s">
        <v>165</v>
      </c>
      <c r="E274" s="329"/>
      <c r="F274" s="329"/>
      <c r="G274" s="329"/>
      <c r="H274" s="329"/>
      <c r="I274" s="329"/>
      <c r="J274" s="118"/>
      <c r="K274" s="228"/>
      <c r="L274" s="99"/>
    </row>
    <row r="275" spans="1:12" ht="36">
      <c r="A275" s="78" t="s">
        <v>609</v>
      </c>
      <c r="B275" s="127" t="s">
        <v>354</v>
      </c>
      <c r="C275" s="85">
        <v>200124</v>
      </c>
      <c r="D275" s="156" t="s">
        <v>187</v>
      </c>
      <c r="E275" s="157" t="s">
        <v>188</v>
      </c>
      <c r="F275" s="39">
        <f>'M Cálculo'!F258</f>
        <v>114.78</v>
      </c>
      <c r="G275" s="131">
        <v>800.56</v>
      </c>
      <c r="H275" s="131"/>
      <c r="I275" s="139">
        <f>ROUND(F275*G275,2)</f>
        <v>91888.28</v>
      </c>
      <c r="J275" s="97"/>
      <c r="K275" s="228"/>
      <c r="L275" s="99"/>
    </row>
    <row r="276" spans="1:12" ht="15">
      <c r="A276" s="102" t="s">
        <v>610</v>
      </c>
      <c r="B276" s="166"/>
      <c r="C276" s="103" t="s">
        <v>167</v>
      </c>
      <c r="D276" s="328" t="s">
        <v>168</v>
      </c>
      <c r="E276" s="329"/>
      <c r="F276" s="329"/>
      <c r="G276" s="329"/>
      <c r="H276" s="329"/>
      <c r="I276" s="329"/>
      <c r="J276" s="118"/>
      <c r="K276" s="228"/>
      <c r="L276" s="99"/>
    </row>
    <row r="277" spans="1:12" ht="15">
      <c r="A277" s="84" t="s">
        <v>611</v>
      </c>
      <c r="B277" s="127" t="s">
        <v>354</v>
      </c>
      <c r="C277" s="123">
        <v>200401</v>
      </c>
      <c r="D277" s="86" t="s">
        <v>169</v>
      </c>
      <c r="E277" s="87" t="s">
        <v>6</v>
      </c>
      <c r="F277" s="88">
        <f>'M Cálculo'!F260</f>
        <v>289.86</v>
      </c>
      <c r="G277" s="138">
        <v>9.88</v>
      </c>
      <c r="H277" s="138"/>
      <c r="I277" s="140">
        <f>ROUND(F277*G277,2)</f>
        <v>2863.82</v>
      </c>
      <c r="J277" s="97"/>
      <c r="K277" s="228"/>
      <c r="L277" s="99"/>
    </row>
    <row r="278" spans="1:11" ht="15">
      <c r="A278" s="108"/>
      <c r="B278" s="164"/>
      <c r="C278" s="338" t="s">
        <v>156</v>
      </c>
      <c r="D278" s="339"/>
      <c r="E278" s="339"/>
      <c r="F278" s="339"/>
      <c r="G278" s="339"/>
      <c r="H278" s="339"/>
      <c r="I278" s="340"/>
      <c r="J278" s="120">
        <f>SUM(I275:I277)</f>
        <v>94752.1</v>
      </c>
      <c r="K278" s="142"/>
    </row>
    <row r="279" spans="1:12" ht="15.75" thickBot="1">
      <c r="A279" s="81"/>
      <c r="B279" s="165"/>
      <c r="C279" s="384"/>
      <c r="D279" s="384"/>
      <c r="E279" s="384"/>
      <c r="F279" s="384"/>
      <c r="G279" s="384"/>
      <c r="H279" s="384"/>
      <c r="I279" s="384"/>
      <c r="J279" s="148"/>
      <c r="K279" s="130"/>
      <c r="L279" s="93"/>
    </row>
    <row r="280" spans="1:11" ht="15.75" thickBot="1">
      <c r="A280" s="296">
        <v>19</v>
      </c>
      <c r="B280" s="297"/>
      <c r="C280" s="298"/>
      <c r="D280" s="341" t="s">
        <v>170</v>
      </c>
      <c r="E280" s="341"/>
      <c r="F280" s="341"/>
      <c r="G280" s="342"/>
      <c r="H280" s="296"/>
      <c r="I280" s="297"/>
      <c r="J280" s="298"/>
      <c r="K280" s="142"/>
    </row>
    <row r="281" spans="1:11" ht="15">
      <c r="A281" s="102" t="s">
        <v>340</v>
      </c>
      <c r="B281" s="166"/>
      <c r="C281" s="104">
        <v>2101</v>
      </c>
      <c r="D281" s="328" t="s">
        <v>171</v>
      </c>
      <c r="E281" s="329"/>
      <c r="F281" s="329"/>
      <c r="G281" s="329"/>
      <c r="H281" s="329"/>
      <c r="I281" s="329"/>
      <c r="J281" s="118"/>
      <c r="K281" s="130"/>
    </row>
    <row r="282" spans="1:11" ht="15">
      <c r="A282" s="78" t="s">
        <v>341</v>
      </c>
      <c r="B282" s="127" t="s">
        <v>354</v>
      </c>
      <c r="C282" s="77">
        <v>210210</v>
      </c>
      <c r="D282" s="33" t="s">
        <v>189</v>
      </c>
      <c r="E282" s="34" t="s">
        <v>6</v>
      </c>
      <c r="F282" s="35">
        <f>'M Cálculo'!F264</f>
        <v>4.140000000000001</v>
      </c>
      <c r="G282" s="138">
        <v>298.56</v>
      </c>
      <c r="H282" s="138"/>
      <c r="I282" s="139">
        <f>ROUND(F282*G282,2)</f>
        <v>1236.04</v>
      </c>
      <c r="J282" s="96"/>
      <c r="K282" s="142"/>
    </row>
    <row r="283" spans="1:11" ht="15">
      <c r="A283" s="102" t="s">
        <v>612</v>
      </c>
      <c r="B283" s="166"/>
      <c r="C283" s="104">
        <v>2102</v>
      </c>
      <c r="D283" s="328" t="s">
        <v>172</v>
      </c>
      <c r="E283" s="329"/>
      <c r="F283" s="329"/>
      <c r="G283" s="329"/>
      <c r="H283" s="329"/>
      <c r="I283" s="329"/>
      <c r="J283" s="118"/>
      <c r="K283" s="130"/>
    </row>
    <row r="284" spans="1:11" ht="24">
      <c r="A284" s="78" t="s">
        <v>613</v>
      </c>
      <c r="B284" s="127" t="s">
        <v>354</v>
      </c>
      <c r="C284" s="77">
        <v>210316</v>
      </c>
      <c r="D284" s="33" t="s">
        <v>173</v>
      </c>
      <c r="E284" s="34" t="s">
        <v>4</v>
      </c>
      <c r="F284" s="35">
        <f>'M Cálculo'!F266</f>
        <v>1</v>
      </c>
      <c r="G284" s="129">
        <v>480.7</v>
      </c>
      <c r="H284" s="129"/>
      <c r="I284" s="139">
        <f>ROUND(F284*G284,2)</f>
        <v>480.7</v>
      </c>
      <c r="J284" s="96"/>
      <c r="K284" s="198"/>
    </row>
    <row r="285" spans="1:11" ht="15">
      <c r="A285" s="387" t="s">
        <v>163</v>
      </c>
      <c r="B285" s="387"/>
      <c r="C285" s="387"/>
      <c r="D285" s="387"/>
      <c r="E285" s="387"/>
      <c r="F285" s="387"/>
      <c r="G285" s="387"/>
      <c r="H285" s="387"/>
      <c r="I285" s="387"/>
      <c r="J285" s="120">
        <f>SUM(I282:I284)</f>
        <v>1716.74</v>
      </c>
      <c r="K285" s="142"/>
    </row>
    <row r="286" spans="1:11" ht="15.75" thickBot="1">
      <c r="A286" s="95"/>
      <c r="B286" s="168"/>
      <c r="C286" s="382"/>
      <c r="D286" s="382"/>
      <c r="E286" s="382"/>
      <c r="F286" s="382"/>
      <c r="G286" s="382"/>
      <c r="H286" s="382"/>
      <c r="I286" s="382"/>
      <c r="J286" s="173"/>
      <c r="K286" s="142"/>
    </row>
    <row r="287" spans="1:11" ht="16.5" thickBot="1">
      <c r="A287" s="385" t="s">
        <v>174</v>
      </c>
      <c r="B287" s="386"/>
      <c r="C287" s="386"/>
      <c r="D287" s="386"/>
      <c r="E287" s="386"/>
      <c r="F287" s="386"/>
      <c r="G287" s="386"/>
      <c r="H287" s="386"/>
      <c r="I287" s="386"/>
      <c r="J287" s="175">
        <f>SUM(J9:J285)</f>
        <v>698666.0969000001</v>
      </c>
      <c r="K287" s="130"/>
    </row>
    <row r="288" spans="1:11" ht="15.75" thickBot="1">
      <c r="A288" s="83"/>
      <c r="B288" s="168"/>
      <c r="C288" s="383"/>
      <c r="D288" s="383"/>
      <c r="E288" s="383"/>
      <c r="F288" s="383"/>
      <c r="G288" s="383"/>
      <c r="H288" s="383"/>
      <c r="I288" s="383"/>
      <c r="J288" s="145"/>
      <c r="K288" s="130"/>
    </row>
    <row r="289" spans="1:11" ht="15">
      <c r="A289" s="352" t="s">
        <v>175</v>
      </c>
      <c r="B289" s="353"/>
      <c r="C289" s="353"/>
      <c r="D289" s="353"/>
      <c r="E289" s="353"/>
      <c r="F289" s="353"/>
      <c r="G289" s="353"/>
      <c r="H289" s="353"/>
      <c r="I289" s="353"/>
      <c r="J289" s="354"/>
      <c r="K289" s="130"/>
    </row>
    <row r="290" spans="1:11" ht="15">
      <c r="A290" s="355" t="s">
        <v>176</v>
      </c>
      <c r="B290" s="356"/>
      <c r="C290" s="356"/>
      <c r="D290" s="356"/>
      <c r="E290" s="356"/>
      <c r="F290" s="356"/>
      <c r="G290" s="356"/>
      <c r="H290" s="356"/>
      <c r="I290" s="356"/>
      <c r="J290" s="357"/>
      <c r="K290" s="142"/>
    </row>
    <row r="291" spans="1:11" ht="15">
      <c r="A291" s="355" t="s">
        <v>177</v>
      </c>
      <c r="B291" s="356"/>
      <c r="C291" s="356"/>
      <c r="D291" s="356"/>
      <c r="E291" s="356"/>
      <c r="F291" s="356"/>
      <c r="G291" s="356"/>
      <c r="H291" s="356"/>
      <c r="I291" s="356"/>
      <c r="J291" s="357"/>
      <c r="K291" s="130"/>
    </row>
    <row r="292" spans="1:11" ht="15">
      <c r="A292" s="355" t="s">
        <v>178</v>
      </c>
      <c r="B292" s="356"/>
      <c r="C292" s="356"/>
      <c r="D292" s="356"/>
      <c r="E292" s="356"/>
      <c r="F292" s="356"/>
      <c r="G292" s="356"/>
      <c r="H292" s="356"/>
      <c r="I292" s="356"/>
      <c r="J292" s="357"/>
      <c r="K292" s="142"/>
    </row>
    <row r="293" spans="1:11" ht="15">
      <c r="A293" s="355" t="s">
        <v>509</v>
      </c>
      <c r="B293" s="356"/>
      <c r="C293" s="356"/>
      <c r="D293" s="356"/>
      <c r="E293" s="356"/>
      <c r="F293" s="356"/>
      <c r="G293" s="356"/>
      <c r="H293" s="356"/>
      <c r="I293" s="356"/>
      <c r="J293" s="357"/>
      <c r="K293" s="130"/>
    </row>
    <row r="294" spans="1:11" ht="15" customHeight="1" thickBot="1">
      <c r="A294" s="358" t="s">
        <v>365</v>
      </c>
      <c r="B294" s="359"/>
      <c r="C294" s="359"/>
      <c r="D294" s="359"/>
      <c r="E294" s="359"/>
      <c r="F294" s="359"/>
      <c r="G294" s="359"/>
      <c r="H294" s="359"/>
      <c r="I294" s="359"/>
      <c r="J294" s="360"/>
      <c r="K294" s="198"/>
    </row>
    <row r="295" spans="1:11" ht="15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  <c r="K295" s="254"/>
    </row>
    <row r="296" spans="9:11" ht="15.75" thickBot="1">
      <c r="I296" s="91"/>
      <c r="J296" s="101"/>
      <c r="K296" s="130"/>
    </row>
    <row r="297" spans="1:11" ht="42" customHeight="1">
      <c r="A297" s="176"/>
      <c r="B297" s="177"/>
      <c r="C297" s="348" t="s">
        <v>622</v>
      </c>
      <c r="D297" s="349"/>
      <c r="E297" s="349"/>
      <c r="F297" s="349"/>
      <c r="G297" s="349"/>
      <c r="H297" s="349"/>
      <c r="I297" s="350"/>
      <c r="J297" s="174"/>
      <c r="K297" s="142"/>
    </row>
    <row r="298" spans="3:11" ht="180">
      <c r="C298" s="171">
        <v>813</v>
      </c>
      <c r="D298" s="33" t="s">
        <v>620</v>
      </c>
      <c r="E298" s="34" t="s">
        <v>191</v>
      </c>
      <c r="F298" s="324" t="s">
        <v>623</v>
      </c>
      <c r="G298" s="351">
        <v>6.8</v>
      </c>
      <c r="H298" s="351"/>
      <c r="I298" s="351"/>
      <c r="J298" s="100"/>
      <c r="K298" s="142"/>
    </row>
    <row r="299" spans="9:12" ht="15">
      <c r="I299" s="91"/>
      <c r="J299" s="101"/>
      <c r="K299" s="130"/>
      <c r="L299" s="95"/>
    </row>
    <row r="300" spans="9:12" ht="15">
      <c r="I300" s="91"/>
      <c r="J300" s="101"/>
      <c r="K300" s="130"/>
      <c r="L300" s="95"/>
    </row>
    <row r="301" spans="9:12" ht="15">
      <c r="I301" s="91"/>
      <c r="J301" s="101"/>
      <c r="K301" s="130"/>
      <c r="L301" s="95"/>
    </row>
    <row r="302" spans="9:12" ht="15">
      <c r="I302" s="91"/>
      <c r="J302" s="101"/>
      <c r="K302" s="130"/>
      <c r="L302" s="95"/>
    </row>
    <row r="303" spans="9:12" ht="15">
      <c r="I303" s="91"/>
      <c r="K303" s="130"/>
      <c r="L303" s="95"/>
    </row>
    <row r="304" spans="9:12" ht="15">
      <c r="I304" s="91"/>
      <c r="K304" s="130"/>
      <c r="L304" s="95"/>
    </row>
    <row r="305" spans="9:12" ht="15">
      <c r="I305" s="91"/>
      <c r="K305" s="130"/>
      <c r="L305" s="95"/>
    </row>
    <row r="306" spans="9:12" ht="15">
      <c r="I306" s="91"/>
      <c r="K306" s="130"/>
      <c r="L306" s="95"/>
    </row>
    <row r="307" spans="9:12" ht="15">
      <c r="I307" s="91"/>
      <c r="K307" s="130"/>
      <c r="L307" s="95"/>
    </row>
    <row r="308" spans="9:12" ht="15">
      <c r="I308" s="91"/>
      <c r="K308" s="130"/>
      <c r="L308" s="95"/>
    </row>
    <row r="309" spans="9:12" ht="15">
      <c r="I309" s="91"/>
      <c r="K309" s="130"/>
      <c r="L309" s="95"/>
    </row>
    <row r="310" spans="9:12" ht="15">
      <c r="I310" s="91"/>
      <c r="K310" s="130"/>
      <c r="L310" s="95"/>
    </row>
    <row r="311" spans="9:12" ht="15">
      <c r="I311" s="91"/>
      <c r="K311" s="130"/>
      <c r="L311" s="95"/>
    </row>
    <row r="312" spans="9:12" ht="15">
      <c r="I312" s="91"/>
      <c r="K312" s="130"/>
      <c r="L312" s="95"/>
    </row>
    <row r="313" spans="9:12" ht="15">
      <c r="I313" s="91"/>
      <c r="K313" s="130"/>
      <c r="L313" s="95"/>
    </row>
    <row r="314" spans="9:12" ht="15">
      <c r="I314" s="91"/>
      <c r="K314" s="130"/>
      <c r="L314" s="95"/>
    </row>
    <row r="315" spans="9:12" ht="15">
      <c r="I315" s="91"/>
      <c r="K315" s="130"/>
      <c r="L315" s="95"/>
    </row>
    <row r="316" spans="9:12" ht="96.75" customHeight="1">
      <c r="I316" s="91"/>
      <c r="K316" s="130"/>
      <c r="L316" s="95"/>
    </row>
    <row r="317" spans="9:12" ht="15">
      <c r="I317" s="91"/>
      <c r="K317" s="130"/>
      <c r="L317" s="95"/>
    </row>
    <row r="318" spans="9:12" ht="15">
      <c r="I318" s="91"/>
      <c r="K318" s="130"/>
      <c r="L318" s="95"/>
    </row>
    <row r="319" spans="9:12" ht="15">
      <c r="I319" s="91"/>
      <c r="K319" s="130"/>
      <c r="L319" s="95"/>
    </row>
    <row r="320" spans="9:11" ht="15">
      <c r="I320" s="91"/>
      <c r="K320" s="130"/>
    </row>
    <row r="321" spans="9:11" ht="15">
      <c r="I321" s="91"/>
      <c r="K321" s="130"/>
    </row>
    <row r="322" spans="9:11" ht="15">
      <c r="I322" s="91"/>
      <c r="K322" s="130"/>
    </row>
    <row r="323" spans="9:11" ht="15">
      <c r="I323" s="91"/>
      <c r="K323" s="130"/>
    </row>
    <row r="324" spans="9:11" ht="15">
      <c r="I324" s="91"/>
      <c r="K324" s="130"/>
    </row>
    <row r="325" spans="9:11" ht="15">
      <c r="I325" s="91"/>
      <c r="K325" s="130"/>
    </row>
    <row r="326" spans="9:11" ht="15">
      <c r="I326" s="91"/>
      <c r="K326" s="130"/>
    </row>
    <row r="327" spans="9:11" ht="15">
      <c r="I327" s="91"/>
      <c r="K327" s="130"/>
    </row>
    <row r="328" spans="9:11" ht="15">
      <c r="I328" s="91"/>
      <c r="K328" s="130"/>
    </row>
    <row r="329" spans="9:11" ht="15">
      <c r="I329" s="91"/>
      <c r="K329" s="130"/>
    </row>
    <row r="330" spans="2:16" s="37" customFormat="1" ht="15">
      <c r="B330" s="94"/>
      <c r="C330" s="40"/>
      <c r="D330" s="41"/>
      <c r="E330" s="40"/>
      <c r="F330" s="42"/>
      <c r="G330" s="91"/>
      <c r="H330" s="91"/>
      <c r="I330" s="91"/>
      <c r="J330" s="91"/>
      <c r="K330" s="130"/>
      <c r="M330" s="1"/>
      <c r="N330" s="1"/>
      <c r="O330" s="1"/>
      <c r="P330" s="1"/>
    </row>
    <row r="331" spans="2:16" s="37" customFormat="1" ht="15">
      <c r="B331" s="94"/>
      <c r="C331" s="40"/>
      <c r="D331" s="41"/>
      <c r="E331" s="40"/>
      <c r="F331" s="42"/>
      <c r="G331" s="91"/>
      <c r="H331" s="91"/>
      <c r="I331" s="91"/>
      <c r="J331" s="91"/>
      <c r="K331" s="130"/>
      <c r="M331" s="1"/>
      <c r="N331" s="1"/>
      <c r="O331" s="1"/>
      <c r="P331" s="1"/>
    </row>
    <row r="332" ht="15">
      <c r="I332" s="91"/>
    </row>
    <row r="333" ht="15">
      <c r="I333" s="91"/>
    </row>
    <row r="334" ht="15">
      <c r="I334" s="91"/>
    </row>
    <row r="335" ht="15">
      <c r="I335" s="91"/>
    </row>
  </sheetData>
  <sheetProtection/>
  <mergeCells count="125">
    <mergeCell ref="A1:J1"/>
    <mergeCell ref="C24:I24"/>
    <mergeCell ref="D236:I236"/>
    <mergeCell ref="D247:I247"/>
    <mergeCell ref="D215:G215"/>
    <mergeCell ref="D191:G191"/>
    <mergeCell ref="D120:G120"/>
    <mergeCell ref="C13:I13"/>
    <mergeCell ref="D36:G36"/>
    <mergeCell ref="D25:G25"/>
    <mergeCell ref="D29:I29"/>
    <mergeCell ref="D32:I32"/>
    <mergeCell ref="C12:I12"/>
    <mergeCell ref="C23:I23"/>
    <mergeCell ref="C34:I34"/>
    <mergeCell ref="D14:G14"/>
    <mergeCell ref="C50:I50"/>
    <mergeCell ref="D52:G52"/>
    <mergeCell ref="D53:I53"/>
    <mergeCell ref="D55:I55"/>
    <mergeCell ref="D15:I15"/>
    <mergeCell ref="D18:I18"/>
    <mergeCell ref="C35:I35"/>
    <mergeCell ref="D37:I37"/>
    <mergeCell ref="D43:I43"/>
    <mergeCell ref="D26:I26"/>
    <mergeCell ref="D90:G90"/>
    <mergeCell ref="C79:I79"/>
    <mergeCell ref="C60:I60"/>
    <mergeCell ref="D62:I62"/>
    <mergeCell ref="D67:I67"/>
    <mergeCell ref="C59:I59"/>
    <mergeCell ref="C71:I71"/>
    <mergeCell ref="D61:G61"/>
    <mergeCell ref="D103:I103"/>
    <mergeCell ref="D105:I105"/>
    <mergeCell ref="C107:I107"/>
    <mergeCell ref="C108:I108"/>
    <mergeCell ref="D109:G109"/>
    <mergeCell ref="D81:I81"/>
    <mergeCell ref="D85:I85"/>
    <mergeCell ref="C89:I89"/>
    <mergeCell ref="C88:I88"/>
    <mergeCell ref="D95:G95"/>
    <mergeCell ref="D241:I241"/>
    <mergeCell ref="D250:I250"/>
    <mergeCell ref="C253:I253"/>
    <mergeCell ref="D216:I216"/>
    <mergeCell ref="D221:I221"/>
    <mergeCell ref="D80:G80"/>
    <mergeCell ref="D113:I113"/>
    <mergeCell ref="D116:I116"/>
    <mergeCell ref="C99:I99"/>
    <mergeCell ref="D101:I101"/>
    <mergeCell ref="D260:I260"/>
    <mergeCell ref="D262:I262"/>
    <mergeCell ref="D228:I228"/>
    <mergeCell ref="C265:I265"/>
    <mergeCell ref="C264:I264"/>
    <mergeCell ref="C119:I119"/>
    <mergeCell ref="D121:I121"/>
    <mergeCell ref="D124:I124"/>
    <mergeCell ref="D127:I127"/>
    <mergeCell ref="D255:I255"/>
    <mergeCell ref="D192:I192"/>
    <mergeCell ref="D198:I198"/>
    <mergeCell ref="D200:I200"/>
    <mergeCell ref="D207:I207"/>
    <mergeCell ref="C252:I252"/>
    <mergeCell ref="D254:G254"/>
    <mergeCell ref="C213:I213"/>
    <mergeCell ref="D218:I218"/>
    <mergeCell ref="D224:I224"/>
    <mergeCell ref="D226:I226"/>
    <mergeCell ref="D276:I276"/>
    <mergeCell ref="D267:I267"/>
    <mergeCell ref="C272:I272"/>
    <mergeCell ref="D274:I274"/>
    <mergeCell ref="D273:G273"/>
    <mergeCell ref="D266:G266"/>
    <mergeCell ref="C271:I271"/>
    <mergeCell ref="C286:I286"/>
    <mergeCell ref="C288:I288"/>
    <mergeCell ref="C279:I279"/>
    <mergeCell ref="D281:I281"/>
    <mergeCell ref="D283:I283"/>
    <mergeCell ref="A287:I287"/>
    <mergeCell ref="A285:I285"/>
    <mergeCell ref="D280:G280"/>
    <mergeCell ref="D9:G9"/>
    <mergeCell ref="A2:J3"/>
    <mergeCell ref="A4:D4"/>
    <mergeCell ref="A5:D5"/>
    <mergeCell ref="I4:J5"/>
    <mergeCell ref="E4:H5"/>
    <mergeCell ref="D57:I57"/>
    <mergeCell ref="C51:I51"/>
    <mergeCell ref="C297:I297"/>
    <mergeCell ref="G298:I298"/>
    <mergeCell ref="A289:J289"/>
    <mergeCell ref="A290:J290"/>
    <mergeCell ref="A291:J291"/>
    <mergeCell ref="A292:J292"/>
    <mergeCell ref="A293:J293"/>
    <mergeCell ref="A294:J294"/>
    <mergeCell ref="C278:I278"/>
    <mergeCell ref="C118:I118"/>
    <mergeCell ref="C189:I189"/>
    <mergeCell ref="D130:I130"/>
    <mergeCell ref="D158:I158"/>
    <mergeCell ref="D162:I162"/>
    <mergeCell ref="D184:I184"/>
    <mergeCell ref="D177:I177"/>
    <mergeCell ref="D166:I166"/>
    <mergeCell ref="D136:I136"/>
    <mergeCell ref="D110:I110"/>
    <mergeCell ref="C78:I78"/>
    <mergeCell ref="C72:I72"/>
    <mergeCell ref="D76:I76"/>
    <mergeCell ref="C93:I93"/>
    <mergeCell ref="C98:I98"/>
    <mergeCell ref="D91:I91"/>
    <mergeCell ref="C94:I94"/>
    <mergeCell ref="D100:G100"/>
    <mergeCell ref="D73:G73"/>
  </mergeCells>
  <printOptions horizontalCentered="1"/>
  <pageMargins left="0.7086614173228347" right="0.7086614173228347" top="0.7480314960629921" bottom="0.9448818897637796" header="0.31496062992125984" footer="0.31496062992125984"/>
  <pageSetup fitToHeight="0" fitToWidth="1" horizontalDpi="300" verticalDpi="300" orientation="portrait" paperSize="9" scale="48" r:id="rId3"/>
  <headerFooter>
    <oddFooter>&amp;CLuan de Paula Cardoso Ferraz
Engenheiro Civil e Ambiental
CREA MG: 162.412/D&amp;R&amp;P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7"/>
  <sheetViews>
    <sheetView showGridLines="0" zoomScaleSheetLayoutView="120" workbookViewId="0" topLeftCell="A259">
      <selection activeCell="A273" sqref="A1:G273"/>
    </sheetView>
  </sheetViews>
  <sheetFormatPr defaultColWidth="9.140625" defaultRowHeight="15"/>
  <cols>
    <col min="1" max="1" width="6.140625" style="37" bestFit="1" customWidth="1"/>
    <col min="2" max="2" width="8.140625" style="94" bestFit="1" customWidth="1"/>
    <col min="3" max="3" width="11.140625" style="40" bestFit="1" customWidth="1"/>
    <col min="4" max="4" width="74.140625" style="41" customWidth="1"/>
    <col min="5" max="5" width="9.28125" style="40" customWidth="1"/>
    <col min="6" max="6" width="13.57421875" style="42" customWidth="1"/>
    <col min="7" max="7" width="63.7109375" style="222" customWidth="1"/>
    <col min="8" max="8" width="19.57421875" style="91" customWidth="1"/>
    <col min="9" max="9" width="12.421875" style="37" customWidth="1"/>
    <col min="10" max="16384" width="9.140625" style="1" customWidth="1"/>
  </cols>
  <sheetData>
    <row r="1" spans="1:12" s="31" customFormat="1" ht="63" customHeight="1" thickBot="1">
      <c r="A1" s="407" t="s">
        <v>193</v>
      </c>
      <c r="B1" s="408"/>
      <c r="C1" s="409"/>
      <c r="D1" s="409"/>
      <c r="E1" s="409"/>
      <c r="F1" s="409"/>
      <c r="G1" s="409"/>
      <c r="H1" s="182"/>
      <c r="I1" s="188"/>
      <c r="J1" s="32"/>
      <c r="K1" s="32"/>
      <c r="L1" s="32"/>
    </row>
    <row r="2" spans="1:9" s="32" customFormat="1" ht="21.75" customHeight="1">
      <c r="A2" s="426" t="s">
        <v>627</v>
      </c>
      <c r="B2" s="427"/>
      <c r="C2" s="427"/>
      <c r="D2" s="427"/>
      <c r="E2" s="427"/>
      <c r="F2" s="427"/>
      <c r="G2" s="428"/>
      <c r="H2" s="192"/>
      <c r="I2" s="43"/>
    </row>
    <row r="3" spans="1:9" s="32" customFormat="1" ht="15" customHeight="1" thickBot="1">
      <c r="A3" s="429"/>
      <c r="B3" s="430"/>
      <c r="C3" s="430"/>
      <c r="D3" s="430"/>
      <c r="E3" s="430"/>
      <c r="F3" s="430"/>
      <c r="G3" s="431"/>
      <c r="H3" s="192"/>
      <c r="I3" s="43"/>
    </row>
    <row r="4" spans="1:9" s="32" customFormat="1" ht="14.25" customHeight="1">
      <c r="A4" s="369" t="s">
        <v>615</v>
      </c>
      <c r="B4" s="370"/>
      <c r="C4" s="370"/>
      <c r="D4" s="371"/>
      <c r="E4" s="432" t="s">
        <v>628</v>
      </c>
      <c r="F4" s="433"/>
      <c r="G4" s="434"/>
      <c r="H4" s="193"/>
      <c r="I4" s="44"/>
    </row>
    <row r="5" spans="1:9" s="32" customFormat="1" ht="15.75" customHeight="1" thickBot="1">
      <c r="A5" s="372" t="s">
        <v>366</v>
      </c>
      <c r="B5" s="373"/>
      <c r="C5" s="373"/>
      <c r="D5" s="374"/>
      <c r="E5" s="435"/>
      <c r="F5" s="436"/>
      <c r="G5" s="437"/>
      <c r="H5" s="194"/>
      <c r="I5" s="44"/>
    </row>
    <row r="6" spans="1:9" s="32" customFormat="1" ht="15.75" customHeight="1" thickBot="1">
      <c r="A6" s="183"/>
      <c r="B6" s="183"/>
      <c r="C6" s="183"/>
      <c r="D6" s="183"/>
      <c r="E6" s="184"/>
      <c r="F6" s="184"/>
      <c r="G6" s="217"/>
      <c r="H6" s="195"/>
      <c r="I6" s="44"/>
    </row>
    <row r="7" spans="1:9" s="32" customFormat="1" ht="15.75" thickBot="1">
      <c r="A7" s="224" t="s">
        <v>0</v>
      </c>
      <c r="B7" s="224" t="s">
        <v>471</v>
      </c>
      <c r="C7" s="224" t="s">
        <v>353</v>
      </c>
      <c r="D7" s="224" t="s">
        <v>1</v>
      </c>
      <c r="E7" s="224" t="s">
        <v>363</v>
      </c>
      <c r="F7" s="225" t="s">
        <v>368</v>
      </c>
      <c r="G7" s="223" t="s">
        <v>470</v>
      </c>
      <c r="H7" s="196"/>
      <c r="I7" s="189"/>
    </row>
    <row r="8" spans="1:9" s="32" customFormat="1" ht="15.75" thickBot="1">
      <c r="A8" s="185"/>
      <c r="B8" s="185"/>
      <c r="C8" s="185"/>
      <c r="D8" s="185"/>
      <c r="E8" s="185"/>
      <c r="F8" s="186"/>
      <c r="G8" s="218"/>
      <c r="H8" s="196"/>
      <c r="I8" s="189"/>
    </row>
    <row r="9" spans="1:9" s="32" customFormat="1" ht="15.75" thickBot="1">
      <c r="A9" s="296">
        <v>1</v>
      </c>
      <c r="B9" s="297"/>
      <c r="C9" s="298"/>
      <c r="D9" s="341" t="s">
        <v>3</v>
      </c>
      <c r="E9" s="341"/>
      <c r="F9" s="341"/>
      <c r="G9" s="342"/>
      <c r="I9" s="189"/>
    </row>
    <row r="10" spans="1:9" s="32" customFormat="1" ht="15">
      <c r="A10" s="211" t="s">
        <v>237</v>
      </c>
      <c r="B10" s="212"/>
      <c r="C10" s="210">
        <v>105</v>
      </c>
      <c r="D10" s="105" t="s">
        <v>239</v>
      </c>
      <c r="E10" s="106"/>
      <c r="F10" s="107"/>
      <c r="G10" s="219"/>
      <c r="H10" s="197"/>
      <c r="I10" s="189"/>
    </row>
    <row r="11" spans="1:8" ht="15">
      <c r="A11" s="215" t="s">
        <v>240</v>
      </c>
      <c r="B11" s="38" t="s">
        <v>354</v>
      </c>
      <c r="C11" s="171">
        <v>10501</v>
      </c>
      <c r="D11" s="33" t="s">
        <v>5</v>
      </c>
      <c r="E11" s="34" t="s">
        <v>6</v>
      </c>
      <c r="F11" s="35">
        <v>289.86</v>
      </c>
      <c r="G11" s="256" t="s">
        <v>462</v>
      </c>
      <c r="H11" s="130"/>
    </row>
    <row r="12" spans="1:9" ht="15.75" thickBot="1">
      <c r="A12" s="81"/>
      <c r="B12" s="165"/>
      <c r="C12" s="345"/>
      <c r="D12" s="346"/>
      <c r="E12" s="346"/>
      <c r="F12" s="346"/>
      <c r="G12" s="346"/>
      <c r="H12" s="244"/>
      <c r="I12" s="99"/>
    </row>
    <row r="13" spans="1:9" ht="15.75" thickBot="1">
      <c r="A13" s="296">
        <v>2</v>
      </c>
      <c r="B13" s="297"/>
      <c r="C13" s="298"/>
      <c r="D13" s="341" t="s">
        <v>9</v>
      </c>
      <c r="E13" s="341"/>
      <c r="F13" s="341"/>
      <c r="G13" s="342"/>
      <c r="H13" s="142"/>
      <c r="I13" s="99"/>
    </row>
    <row r="14" spans="1:9" ht="15">
      <c r="A14" s="211" t="s">
        <v>253</v>
      </c>
      <c r="B14" s="212"/>
      <c r="C14" s="213">
        <v>203</v>
      </c>
      <c r="D14" s="412" t="s">
        <v>10</v>
      </c>
      <c r="E14" s="412"/>
      <c r="F14" s="412"/>
      <c r="G14" s="412"/>
      <c r="H14" s="142"/>
      <c r="I14" s="99"/>
    </row>
    <row r="15" spans="1:8" ht="15">
      <c r="A15" s="215" t="s">
        <v>254</v>
      </c>
      <c r="B15" s="38" t="s">
        <v>354</v>
      </c>
      <c r="C15" s="171">
        <v>20305</v>
      </c>
      <c r="D15" s="33" t="s">
        <v>11</v>
      </c>
      <c r="E15" s="34" t="s">
        <v>6</v>
      </c>
      <c r="F15" s="35">
        <v>8</v>
      </c>
      <c r="G15" s="257" t="s">
        <v>455</v>
      </c>
      <c r="H15" s="130"/>
    </row>
    <row r="16" spans="1:8" ht="36">
      <c r="A16" s="215" t="s">
        <v>255</v>
      </c>
      <c r="B16" s="38" t="s">
        <v>354</v>
      </c>
      <c r="C16" s="171">
        <v>20350</v>
      </c>
      <c r="D16" s="33" t="s">
        <v>12</v>
      </c>
      <c r="E16" s="34" t="s">
        <v>13</v>
      </c>
      <c r="F16" s="35">
        <v>26.44</v>
      </c>
      <c r="G16" s="257" t="s">
        <v>463</v>
      </c>
      <c r="H16" s="130"/>
    </row>
    <row r="17" spans="1:9" s="37" customFormat="1" ht="15">
      <c r="A17" s="211" t="s">
        <v>238</v>
      </c>
      <c r="B17" s="212"/>
      <c r="C17" s="214">
        <v>207</v>
      </c>
      <c r="D17" s="425" t="s">
        <v>14</v>
      </c>
      <c r="E17" s="425"/>
      <c r="F17" s="425"/>
      <c r="G17" s="425"/>
      <c r="H17" s="199"/>
      <c r="I17" s="99"/>
    </row>
    <row r="18" spans="1:8" ht="36">
      <c r="A18" s="215" t="s">
        <v>241</v>
      </c>
      <c r="B18" s="38" t="s">
        <v>354</v>
      </c>
      <c r="C18" s="171">
        <v>20802</v>
      </c>
      <c r="D18" s="33" t="s">
        <v>416</v>
      </c>
      <c r="E18" s="34" t="s">
        <v>6</v>
      </c>
      <c r="F18" s="35">
        <v>10.9</v>
      </c>
      <c r="G18" s="257" t="s">
        <v>461</v>
      </c>
      <c r="H18" s="130"/>
    </row>
    <row r="19" spans="1:8" ht="36">
      <c r="A19" s="215" t="s">
        <v>242</v>
      </c>
      <c r="B19" s="38" t="s">
        <v>354</v>
      </c>
      <c r="C19" s="171">
        <v>20801</v>
      </c>
      <c r="D19" s="33" t="s">
        <v>417</v>
      </c>
      <c r="E19" s="34" t="s">
        <v>6</v>
      </c>
      <c r="F19" s="35">
        <v>14.5</v>
      </c>
      <c r="G19" s="257" t="s">
        <v>460</v>
      </c>
      <c r="H19" s="130"/>
    </row>
    <row r="20" spans="1:8" ht="36">
      <c r="A20" s="215" t="s">
        <v>243</v>
      </c>
      <c r="B20" s="38" t="s">
        <v>354</v>
      </c>
      <c r="C20" s="171">
        <v>20704</v>
      </c>
      <c r="D20" s="33" t="s">
        <v>418</v>
      </c>
      <c r="E20" s="34" t="s">
        <v>6</v>
      </c>
      <c r="F20" s="35">
        <v>18.06</v>
      </c>
      <c r="G20" s="257" t="s">
        <v>459</v>
      </c>
      <c r="H20" s="130"/>
    </row>
    <row r="21" spans="1:8" ht="36">
      <c r="A21" s="215" t="s">
        <v>244</v>
      </c>
      <c r="B21" s="38" t="s">
        <v>354</v>
      </c>
      <c r="C21" s="171">
        <v>20808</v>
      </c>
      <c r="D21" s="33" t="s">
        <v>419</v>
      </c>
      <c r="E21" s="34" t="s">
        <v>6</v>
      </c>
      <c r="F21" s="35">
        <v>12</v>
      </c>
      <c r="G21" s="257" t="s">
        <v>458</v>
      </c>
      <c r="H21" s="130"/>
    </row>
    <row r="22" spans="1:9" ht="15.75" thickBot="1">
      <c r="A22" s="81"/>
      <c r="B22" s="165"/>
      <c r="C22" s="333"/>
      <c r="D22" s="334"/>
      <c r="E22" s="334"/>
      <c r="F22" s="334"/>
      <c r="G22" s="334"/>
      <c r="H22" s="200"/>
      <c r="I22" s="99"/>
    </row>
    <row r="23" spans="1:9" ht="15.75" thickBot="1">
      <c r="A23" s="296">
        <v>3</v>
      </c>
      <c r="B23" s="297"/>
      <c r="C23" s="298"/>
      <c r="D23" s="341" t="s">
        <v>17</v>
      </c>
      <c r="E23" s="341"/>
      <c r="F23" s="341"/>
      <c r="G23" s="342"/>
      <c r="H23" s="142"/>
      <c r="I23" s="99"/>
    </row>
    <row r="24" spans="1:9" ht="15">
      <c r="A24" s="102" t="s">
        <v>245</v>
      </c>
      <c r="B24" s="166"/>
      <c r="C24" s="103"/>
      <c r="D24" s="328" t="s">
        <v>19</v>
      </c>
      <c r="E24" s="329"/>
      <c r="F24" s="329"/>
      <c r="G24" s="329"/>
      <c r="H24" s="142"/>
      <c r="I24" s="99"/>
    </row>
    <row r="25" spans="1:8" ht="60">
      <c r="A25" s="78" t="s">
        <v>246</v>
      </c>
      <c r="B25" s="216" t="s">
        <v>354</v>
      </c>
      <c r="C25" s="34">
        <v>30101</v>
      </c>
      <c r="D25" s="33" t="s">
        <v>20</v>
      </c>
      <c r="E25" s="34" t="s">
        <v>21</v>
      </c>
      <c r="F25" s="35">
        <f>51.17+9.46+6+0.71</f>
        <v>67.33999999999999</v>
      </c>
      <c r="G25" s="257" t="s">
        <v>464</v>
      </c>
      <c r="H25" s="130"/>
    </row>
    <row r="26" spans="1:8" ht="60">
      <c r="A26" s="78" t="s">
        <v>247</v>
      </c>
      <c r="B26" s="216" t="s">
        <v>354</v>
      </c>
      <c r="C26" s="34">
        <v>30119</v>
      </c>
      <c r="D26" s="33" t="s">
        <v>22</v>
      </c>
      <c r="E26" s="34" t="s">
        <v>6</v>
      </c>
      <c r="F26" s="35">
        <f>26.06+25.34+3.24+1.92</f>
        <v>56.56</v>
      </c>
      <c r="G26" s="257" t="s">
        <v>465</v>
      </c>
      <c r="H26" s="130"/>
    </row>
    <row r="27" spans="1:9" ht="15">
      <c r="A27" s="102" t="s">
        <v>248</v>
      </c>
      <c r="B27" s="166"/>
      <c r="C27" s="210" t="s">
        <v>23</v>
      </c>
      <c r="D27" s="412" t="s">
        <v>24</v>
      </c>
      <c r="E27" s="412"/>
      <c r="F27" s="412"/>
      <c r="G27" s="412"/>
      <c r="H27" s="142"/>
      <c r="I27" s="99"/>
    </row>
    <row r="28" spans="1:8" ht="32.25" customHeight="1">
      <c r="A28" s="78" t="s">
        <v>249</v>
      </c>
      <c r="B28" s="216" t="s">
        <v>354</v>
      </c>
      <c r="C28" s="34">
        <v>30201</v>
      </c>
      <c r="D28" s="33" t="s">
        <v>25</v>
      </c>
      <c r="E28" s="34" t="s">
        <v>21</v>
      </c>
      <c r="F28" s="35">
        <f>44.66+5.19</f>
        <v>49.849999999999994</v>
      </c>
      <c r="G28" s="258" t="s">
        <v>479</v>
      </c>
      <c r="H28" s="130"/>
    </row>
    <row r="29" spans="1:8" ht="62.25" customHeight="1">
      <c r="A29" s="78" t="s">
        <v>250</v>
      </c>
      <c r="B29" s="216" t="s">
        <v>354</v>
      </c>
      <c r="C29" s="34">
        <v>130112</v>
      </c>
      <c r="D29" s="33" t="s">
        <v>454</v>
      </c>
      <c r="E29" s="34" t="s">
        <v>6</v>
      </c>
      <c r="F29" s="35">
        <f>26.06+25.34+3.24+1.92</f>
        <v>56.56</v>
      </c>
      <c r="G29" s="257" t="s">
        <v>466</v>
      </c>
      <c r="H29" s="130"/>
    </row>
    <row r="30" spans="1:9" ht="15">
      <c r="A30" s="102" t="s">
        <v>251</v>
      </c>
      <c r="B30" s="166"/>
      <c r="C30" s="210" t="s">
        <v>26</v>
      </c>
      <c r="D30" s="412" t="s">
        <v>27</v>
      </c>
      <c r="E30" s="412"/>
      <c r="F30" s="412"/>
      <c r="G30" s="412"/>
      <c r="H30" s="142"/>
      <c r="I30" s="99"/>
    </row>
    <row r="31" spans="1:8" ht="36">
      <c r="A31" s="78" t="s">
        <v>252</v>
      </c>
      <c r="B31" s="216" t="s">
        <v>354</v>
      </c>
      <c r="C31" s="171">
        <v>30304</v>
      </c>
      <c r="D31" s="33" t="s">
        <v>28</v>
      </c>
      <c r="E31" s="34" t="s">
        <v>21</v>
      </c>
      <c r="F31" s="35">
        <f>67.34-49.85</f>
        <v>17.490000000000002</v>
      </c>
      <c r="G31" s="257" t="s">
        <v>457</v>
      </c>
      <c r="H31" s="130"/>
    </row>
    <row r="32" spans="1:9" ht="15.75" thickBot="1">
      <c r="A32" s="81"/>
      <c r="B32" s="165"/>
      <c r="C32" s="404"/>
      <c r="D32" s="404"/>
      <c r="E32" s="404"/>
      <c r="F32" s="404"/>
      <c r="G32" s="404"/>
      <c r="H32" s="201"/>
      <c r="I32" s="99"/>
    </row>
    <row r="33" spans="1:9" ht="15.75" thickBot="1">
      <c r="A33" s="296">
        <v>4</v>
      </c>
      <c r="B33" s="297"/>
      <c r="C33" s="298"/>
      <c r="D33" s="341" t="s">
        <v>31</v>
      </c>
      <c r="E33" s="341"/>
      <c r="F33" s="341"/>
      <c r="G33" s="342"/>
      <c r="H33" s="142"/>
      <c r="I33" s="99"/>
    </row>
    <row r="34" spans="1:9" ht="15">
      <c r="A34" s="102" t="s">
        <v>256</v>
      </c>
      <c r="B34" s="166"/>
      <c r="C34" s="104">
        <v>401</v>
      </c>
      <c r="D34" s="328" t="s">
        <v>32</v>
      </c>
      <c r="E34" s="329"/>
      <c r="F34" s="329"/>
      <c r="G34" s="329"/>
      <c r="H34" s="142"/>
      <c r="I34" s="99"/>
    </row>
    <row r="35" spans="1:8" ht="30">
      <c r="A35" s="78" t="s">
        <v>257</v>
      </c>
      <c r="B35" s="216" t="s">
        <v>355</v>
      </c>
      <c r="C35" s="77">
        <v>96535</v>
      </c>
      <c r="D35" s="33" t="s">
        <v>636</v>
      </c>
      <c r="E35" s="34" t="s">
        <v>6</v>
      </c>
      <c r="F35" s="35">
        <f>37.6+3.6+77.7+7.2</f>
        <v>126.10000000000001</v>
      </c>
      <c r="G35" s="327" t="s">
        <v>640</v>
      </c>
      <c r="H35" s="130"/>
    </row>
    <row r="36" spans="1:8" ht="30">
      <c r="A36" s="78" t="s">
        <v>258</v>
      </c>
      <c r="B36" s="216" t="s">
        <v>355</v>
      </c>
      <c r="C36" s="77">
        <v>96542</v>
      </c>
      <c r="D36" s="33" t="s">
        <v>637</v>
      </c>
      <c r="E36" s="34" t="s">
        <v>6</v>
      </c>
      <c r="F36" s="35">
        <f>101.35+5.76</f>
        <v>107.11</v>
      </c>
      <c r="G36" s="327" t="s">
        <v>638</v>
      </c>
      <c r="H36" s="130"/>
    </row>
    <row r="37" spans="1:8" ht="99" customHeight="1">
      <c r="A37" s="78" t="s">
        <v>360</v>
      </c>
      <c r="B37" s="216" t="s">
        <v>354</v>
      </c>
      <c r="C37" s="77">
        <v>40237</v>
      </c>
      <c r="D37" s="33" t="s">
        <v>451</v>
      </c>
      <c r="E37" s="34" t="s">
        <v>21</v>
      </c>
      <c r="F37" s="35">
        <f>6.51+4.37+7.6+0.58+0.81+0.54</f>
        <v>20.409999999999993</v>
      </c>
      <c r="G37" s="257" t="s">
        <v>467</v>
      </c>
      <c r="H37" s="130"/>
    </row>
    <row r="38" spans="1:8" ht="99.75" customHeight="1">
      <c r="A38" s="78" t="s">
        <v>259</v>
      </c>
      <c r="B38" s="216" t="s">
        <v>354</v>
      </c>
      <c r="C38" s="77">
        <v>40243</v>
      </c>
      <c r="D38" s="33" t="s">
        <v>33</v>
      </c>
      <c r="E38" s="34" t="s">
        <v>34</v>
      </c>
      <c r="F38" s="35">
        <f>209.45+325.41+529.47+25.66+31.93+36.78</f>
        <v>1158.7</v>
      </c>
      <c r="G38" s="257" t="s">
        <v>468</v>
      </c>
      <c r="H38" s="130"/>
    </row>
    <row r="39" spans="1:8" ht="60">
      <c r="A39" s="78" t="s">
        <v>639</v>
      </c>
      <c r="B39" s="216" t="s">
        <v>354</v>
      </c>
      <c r="C39" s="77">
        <v>40246</v>
      </c>
      <c r="D39" s="33" t="s">
        <v>35</v>
      </c>
      <c r="E39" s="34" t="s">
        <v>34</v>
      </c>
      <c r="F39" s="35">
        <f>190.01+154.77+10.14+13.9</f>
        <v>368.81999999999994</v>
      </c>
      <c r="G39" s="257" t="s">
        <v>469</v>
      </c>
      <c r="H39" s="130"/>
    </row>
    <row r="40" spans="1:9" ht="15">
      <c r="A40" s="211" t="s">
        <v>260</v>
      </c>
      <c r="B40" s="212"/>
      <c r="C40" s="213">
        <v>402</v>
      </c>
      <c r="D40" s="328" t="s">
        <v>452</v>
      </c>
      <c r="E40" s="329"/>
      <c r="F40" s="329"/>
      <c r="G40" s="424"/>
      <c r="H40" s="130"/>
      <c r="I40" s="99"/>
    </row>
    <row r="41" spans="1:9" ht="36">
      <c r="A41" s="78" t="s">
        <v>261</v>
      </c>
      <c r="B41" s="216" t="s">
        <v>355</v>
      </c>
      <c r="C41" s="77">
        <v>92426</v>
      </c>
      <c r="D41" s="33" t="s">
        <v>641</v>
      </c>
      <c r="E41" s="34" t="s">
        <v>6</v>
      </c>
      <c r="F41" s="35">
        <f>155.4+24</f>
        <v>179.4</v>
      </c>
      <c r="G41" s="258" t="s">
        <v>642</v>
      </c>
      <c r="H41" s="130"/>
      <c r="I41" s="99"/>
    </row>
    <row r="42" spans="1:9" ht="30">
      <c r="A42" s="78" t="s">
        <v>262</v>
      </c>
      <c r="B42" s="38" t="s">
        <v>355</v>
      </c>
      <c r="C42" s="171">
        <v>92467</v>
      </c>
      <c r="D42" s="33" t="s">
        <v>630</v>
      </c>
      <c r="E42" s="34" t="s">
        <v>6</v>
      </c>
      <c r="F42" s="35">
        <f>163.85+7.68</f>
        <v>171.53</v>
      </c>
      <c r="G42" s="327" t="s">
        <v>634</v>
      </c>
      <c r="H42" s="130"/>
      <c r="I42" s="99"/>
    </row>
    <row r="43" spans="1:9" ht="36">
      <c r="A43" s="78" t="s">
        <v>263</v>
      </c>
      <c r="B43" s="38" t="s">
        <v>355</v>
      </c>
      <c r="C43" s="77">
        <v>92486</v>
      </c>
      <c r="D43" s="33" t="s">
        <v>632</v>
      </c>
      <c r="E43" s="34" t="s">
        <v>6</v>
      </c>
      <c r="F43" s="35">
        <f>235.95+6.76</f>
        <v>242.70999999999998</v>
      </c>
      <c r="G43" s="327" t="s">
        <v>635</v>
      </c>
      <c r="H43" s="130"/>
      <c r="I43" s="99"/>
    </row>
    <row r="44" spans="1:8" ht="90">
      <c r="A44" s="78" t="s">
        <v>264</v>
      </c>
      <c r="B44" s="216" t="s">
        <v>354</v>
      </c>
      <c r="C44" s="77">
        <v>40237</v>
      </c>
      <c r="D44" s="33" t="s">
        <v>451</v>
      </c>
      <c r="E44" s="34" t="s">
        <v>21</v>
      </c>
      <c r="F44" s="35">
        <f>9.83+8.73+0.81+30.47+1.8+0.58</f>
        <v>52.22</v>
      </c>
      <c r="G44" s="257" t="s">
        <v>472</v>
      </c>
      <c r="H44" s="142"/>
    </row>
    <row r="45" spans="1:8" ht="90">
      <c r="A45" s="78" t="s">
        <v>631</v>
      </c>
      <c r="B45" s="216" t="s">
        <v>354</v>
      </c>
      <c r="C45" s="259">
        <v>40243</v>
      </c>
      <c r="D45" s="33" t="s">
        <v>33</v>
      </c>
      <c r="E45" s="34" t="s">
        <v>34</v>
      </c>
      <c r="F45" s="35">
        <f>686.95+464.11+385.51+390.75+288.81+339.29+84.24+35.78+21.72+21.72</f>
        <v>2718.8799999999997</v>
      </c>
      <c r="G45" s="257" t="s">
        <v>473</v>
      </c>
      <c r="H45" s="130"/>
    </row>
    <row r="46" spans="1:8" ht="75">
      <c r="A46" s="78" t="s">
        <v>633</v>
      </c>
      <c r="B46" s="216" t="s">
        <v>354</v>
      </c>
      <c r="C46" s="77">
        <v>40246</v>
      </c>
      <c r="D46" s="33" t="s">
        <v>35</v>
      </c>
      <c r="E46" s="34" t="s">
        <v>34</v>
      </c>
      <c r="F46" s="35">
        <f>197.67+198.88+126.99+146.45+32.93+9.54</f>
        <v>712.4599999999999</v>
      </c>
      <c r="G46" s="257" t="s">
        <v>474</v>
      </c>
      <c r="H46" s="130"/>
    </row>
    <row r="47" spans="1:9" ht="15.75" thickBot="1">
      <c r="A47" s="81"/>
      <c r="B47" s="165"/>
      <c r="C47" s="345"/>
      <c r="D47" s="346"/>
      <c r="E47" s="346"/>
      <c r="F47" s="346"/>
      <c r="G47" s="346"/>
      <c r="H47" s="244"/>
      <c r="I47" s="99"/>
    </row>
    <row r="48" spans="1:9" ht="15.75" thickBot="1">
      <c r="A48" s="296">
        <v>5</v>
      </c>
      <c r="B48" s="297"/>
      <c r="C48" s="298"/>
      <c r="D48" s="341" t="s">
        <v>38</v>
      </c>
      <c r="E48" s="341"/>
      <c r="F48" s="341"/>
      <c r="G48" s="342"/>
      <c r="H48" s="142"/>
      <c r="I48" s="99"/>
    </row>
    <row r="49" spans="1:9" ht="15">
      <c r="A49" s="82" t="s">
        <v>265</v>
      </c>
      <c r="B49" s="128"/>
      <c r="C49" s="76" t="s">
        <v>39</v>
      </c>
      <c r="D49" s="423" t="s">
        <v>40</v>
      </c>
      <c r="E49" s="423"/>
      <c r="F49" s="423"/>
      <c r="G49" s="423"/>
      <c r="H49" s="142"/>
      <c r="I49" s="99"/>
    </row>
    <row r="50" spans="1:8" ht="243" customHeight="1">
      <c r="A50" s="78" t="s">
        <v>370</v>
      </c>
      <c r="B50" s="38" t="s">
        <v>354</v>
      </c>
      <c r="C50" s="171">
        <v>50606</v>
      </c>
      <c r="D50" s="33" t="s">
        <v>47</v>
      </c>
      <c r="E50" s="34" t="s">
        <v>6</v>
      </c>
      <c r="F50" s="35">
        <f>19.37+54.68+11.82+13.05+52.92+14.87+37.02+38.22+24.94+22.42+44.1+42.6+20.47+20.47+45.74+120.03</f>
        <v>582.7200000000001</v>
      </c>
      <c r="G50" s="258" t="s">
        <v>488</v>
      </c>
      <c r="H50" s="130"/>
    </row>
    <row r="51" spans="1:9" ht="15">
      <c r="A51" s="82" t="s">
        <v>266</v>
      </c>
      <c r="B51" s="128"/>
      <c r="C51" s="76" t="s">
        <v>41</v>
      </c>
      <c r="D51" s="423" t="s">
        <v>42</v>
      </c>
      <c r="E51" s="423"/>
      <c r="F51" s="423"/>
      <c r="G51" s="423"/>
      <c r="H51" s="142"/>
      <c r="I51" s="99"/>
    </row>
    <row r="52" spans="1:8" ht="45">
      <c r="A52" s="78" t="s">
        <v>267</v>
      </c>
      <c r="B52" s="216" t="s">
        <v>354</v>
      </c>
      <c r="C52" s="125">
        <v>50205</v>
      </c>
      <c r="D52" s="33" t="s">
        <v>43</v>
      </c>
      <c r="E52" s="34" t="s">
        <v>6</v>
      </c>
      <c r="F52" s="35">
        <f>2*7.15</f>
        <v>14.3</v>
      </c>
      <c r="G52" s="257" t="s">
        <v>456</v>
      </c>
      <c r="H52" s="130"/>
    </row>
    <row r="53" spans="1:9" ht="15">
      <c r="A53" s="82" t="s">
        <v>268</v>
      </c>
      <c r="B53" s="128"/>
      <c r="C53" s="76" t="s">
        <v>44</v>
      </c>
      <c r="D53" s="423" t="s">
        <v>45</v>
      </c>
      <c r="E53" s="423"/>
      <c r="F53" s="423"/>
      <c r="G53" s="423"/>
      <c r="H53" s="142"/>
      <c r="I53" s="99"/>
    </row>
    <row r="54" spans="1:8" ht="45">
      <c r="A54" s="78" t="s">
        <v>269</v>
      </c>
      <c r="B54" s="216" t="s">
        <v>354</v>
      </c>
      <c r="C54" s="124">
        <v>50301</v>
      </c>
      <c r="D54" s="33" t="s">
        <v>46</v>
      </c>
      <c r="E54" s="34" t="s">
        <v>13</v>
      </c>
      <c r="F54" s="35">
        <f>16.8+16.8+21</f>
        <v>54.6</v>
      </c>
      <c r="G54" s="257" t="s">
        <v>480</v>
      </c>
      <c r="H54" s="202"/>
    </row>
    <row r="55" spans="1:9" ht="15.75" thickBot="1">
      <c r="A55" s="81"/>
      <c r="B55" s="165"/>
      <c r="C55" s="345"/>
      <c r="D55" s="346"/>
      <c r="E55" s="346"/>
      <c r="F55" s="346"/>
      <c r="G55" s="346"/>
      <c r="H55" s="244"/>
      <c r="I55" s="99"/>
    </row>
    <row r="56" spans="1:9" ht="15.75" thickBot="1">
      <c r="A56" s="296">
        <v>6</v>
      </c>
      <c r="B56" s="297"/>
      <c r="C56" s="298"/>
      <c r="D56" s="341" t="s">
        <v>49</v>
      </c>
      <c r="E56" s="341"/>
      <c r="F56" s="341"/>
      <c r="G56" s="342"/>
      <c r="H56" s="142"/>
      <c r="I56" s="99"/>
    </row>
    <row r="57" spans="1:9" ht="15">
      <c r="A57" s="82" t="s">
        <v>270</v>
      </c>
      <c r="B57" s="128"/>
      <c r="C57" s="116"/>
      <c r="D57" s="336" t="s">
        <v>50</v>
      </c>
      <c r="E57" s="337"/>
      <c r="F57" s="337"/>
      <c r="G57" s="337"/>
      <c r="H57" s="142"/>
      <c r="I57" s="99"/>
    </row>
    <row r="58" spans="1:9" ht="36">
      <c r="A58" s="78" t="s">
        <v>271</v>
      </c>
      <c r="B58" s="216" t="s">
        <v>354</v>
      </c>
      <c r="C58" s="125">
        <v>71103</v>
      </c>
      <c r="D58" s="36" t="s">
        <v>180</v>
      </c>
      <c r="E58" s="34" t="s">
        <v>6</v>
      </c>
      <c r="F58" s="35">
        <v>12</v>
      </c>
      <c r="G58" s="257" t="s">
        <v>487</v>
      </c>
      <c r="H58" s="130"/>
      <c r="I58" s="94"/>
    </row>
    <row r="59" spans="1:9" ht="24">
      <c r="A59" s="78" t="s">
        <v>272</v>
      </c>
      <c r="B59" s="226" t="s">
        <v>354</v>
      </c>
      <c r="C59" s="77">
        <v>71706</v>
      </c>
      <c r="D59" s="260" t="s">
        <v>184</v>
      </c>
      <c r="E59" s="261" t="s">
        <v>166</v>
      </c>
      <c r="F59" s="39">
        <v>24.86</v>
      </c>
      <c r="G59" s="273" t="s">
        <v>486</v>
      </c>
      <c r="H59" s="130"/>
      <c r="I59" s="94"/>
    </row>
    <row r="60" spans="1:8" ht="15">
      <c r="A60" s="78" t="s">
        <v>346</v>
      </c>
      <c r="B60" s="216" t="s">
        <v>354</v>
      </c>
      <c r="C60" s="125">
        <v>71106</v>
      </c>
      <c r="D60" s="262" t="s">
        <v>185</v>
      </c>
      <c r="E60" s="34" t="s">
        <v>6</v>
      </c>
      <c r="F60" s="35">
        <f>2.96*2.8</f>
        <v>8.288</v>
      </c>
      <c r="G60" s="257" t="s">
        <v>483</v>
      </c>
      <c r="H60" s="142"/>
    </row>
    <row r="61" spans="1:8" ht="15">
      <c r="A61" s="78" t="s">
        <v>484</v>
      </c>
      <c r="B61" s="216" t="s">
        <v>354</v>
      </c>
      <c r="C61" s="125">
        <v>71104</v>
      </c>
      <c r="D61" s="262" t="s">
        <v>475</v>
      </c>
      <c r="E61" s="34" t="s">
        <v>6</v>
      </c>
      <c r="F61" s="35">
        <v>15</v>
      </c>
      <c r="G61" s="257" t="s">
        <v>485</v>
      </c>
      <c r="H61" s="142"/>
    </row>
    <row r="62" spans="1:9" ht="15">
      <c r="A62" s="82" t="s">
        <v>439</v>
      </c>
      <c r="B62" s="128"/>
      <c r="C62" s="116"/>
      <c r="D62" s="336" t="s">
        <v>51</v>
      </c>
      <c r="E62" s="337"/>
      <c r="F62" s="337"/>
      <c r="G62" s="337"/>
      <c r="H62" s="130"/>
      <c r="I62" s="94"/>
    </row>
    <row r="63" spans="1:9" ht="30">
      <c r="A63" s="78" t="s">
        <v>440</v>
      </c>
      <c r="B63" s="216" t="s">
        <v>354</v>
      </c>
      <c r="C63" s="125">
        <v>71701</v>
      </c>
      <c r="D63" s="33" t="s">
        <v>179</v>
      </c>
      <c r="E63" s="34" t="s">
        <v>6</v>
      </c>
      <c r="F63" s="35">
        <f>12</f>
        <v>12</v>
      </c>
      <c r="G63" s="257" t="s">
        <v>477</v>
      </c>
      <c r="H63" s="130"/>
      <c r="I63" s="94"/>
    </row>
    <row r="64" spans="1:9" ht="60">
      <c r="A64" s="78" t="s">
        <v>441</v>
      </c>
      <c r="B64" s="216" t="s">
        <v>354</v>
      </c>
      <c r="C64" s="263">
        <v>71702</v>
      </c>
      <c r="D64" s="33" t="s">
        <v>52</v>
      </c>
      <c r="E64" s="34" t="s">
        <v>6</v>
      </c>
      <c r="F64" s="35">
        <f>6.4+0.65+0.25</f>
        <v>7.300000000000001</v>
      </c>
      <c r="G64" s="257" t="s">
        <v>476</v>
      </c>
      <c r="H64" s="130"/>
      <c r="I64" s="94"/>
    </row>
    <row r="65" spans="1:8" ht="45">
      <c r="A65" s="78" t="s">
        <v>442</v>
      </c>
      <c r="B65" s="216" t="s">
        <v>354</v>
      </c>
      <c r="C65" s="263">
        <v>71704</v>
      </c>
      <c r="D65" s="33" t="s">
        <v>53</v>
      </c>
      <c r="E65" s="34" t="s">
        <v>6</v>
      </c>
      <c r="F65" s="35">
        <f>2.5+25.2+0.96</f>
        <v>28.66</v>
      </c>
      <c r="G65" s="257" t="s">
        <v>478</v>
      </c>
      <c r="H65" s="200"/>
    </row>
    <row r="66" spans="1:9" ht="15.75" thickBot="1">
      <c r="A66" s="81"/>
      <c r="B66" s="165"/>
      <c r="C66" s="333"/>
      <c r="D66" s="334"/>
      <c r="E66" s="334"/>
      <c r="F66" s="334"/>
      <c r="G66" s="334"/>
      <c r="H66" s="142"/>
      <c r="I66" s="99"/>
    </row>
    <row r="67" spans="1:9" ht="15.75" thickBot="1">
      <c r="A67" s="296">
        <v>7</v>
      </c>
      <c r="B67" s="297"/>
      <c r="C67" s="298"/>
      <c r="D67" s="341" t="s">
        <v>214</v>
      </c>
      <c r="E67" s="341"/>
      <c r="F67" s="341"/>
      <c r="G67" s="342"/>
      <c r="H67" s="248"/>
      <c r="I67" s="99"/>
    </row>
    <row r="68" spans="1:9" s="246" customFormat="1" ht="15">
      <c r="A68" s="82" t="s">
        <v>511</v>
      </c>
      <c r="B68" s="128"/>
      <c r="C68" s="98">
        <v>801</v>
      </c>
      <c r="D68" s="119" t="s">
        <v>274</v>
      </c>
      <c r="E68" s="119"/>
      <c r="F68" s="119"/>
      <c r="G68" s="275"/>
      <c r="H68" s="130"/>
      <c r="I68" s="245"/>
    </row>
    <row r="69" spans="1:8" ht="15">
      <c r="A69" s="78" t="s">
        <v>512</v>
      </c>
      <c r="B69" s="216" t="s">
        <v>354</v>
      </c>
      <c r="C69" s="77">
        <v>80102</v>
      </c>
      <c r="D69" s="36" t="s">
        <v>186</v>
      </c>
      <c r="E69" s="34" t="s">
        <v>6</v>
      </c>
      <c r="F69" s="35">
        <v>19.3</v>
      </c>
      <c r="G69" s="257" t="s">
        <v>508</v>
      </c>
      <c r="H69" s="142"/>
    </row>
    <row r="70" spans="1:9" s="246" customFormat="1" ht="13.5" customHeight="1">
      <c r="A70" s="82" t="s">
        <v>513</v>
      </c>
      <c r="B70" s="128"/>
      <c r="C70" s="116">
        <v>802</v>
      </c>
      <c r="D70" s="423" t="s">
        <v>56</v>
      </c>
      <c r="E70" s="423"/>
      <c r="F70" s="423"/>
      <c r="G70" s="423"/>
      <c r="H70" s="130"/>
      <c r="I70" s="245"/>
    </row>
    <row r="71" spans="1:8" ht="30">
      <c r="A71" s="78" t="s">
        <v>514</v>
      </c>
      <c r="B71" s="216" t="s">
        <v>354</v>
      </c>
      <c r="C71" s="125">
        <v>80201</v>
      </c>
      <c r="D71" s="33" t="s">
        <v>421</v>
      </c>
      <c r="E71" s="34" t="s">
        <v>6</v>
      </c>
      <c r="F71" s="35">
        <f>3.6+0.97</f>
        <v>4.57</v>
      </c>
      <c r="G71" s="257" t="s">
        <v>507</v>
      </c>
      <c r="H71" s="249"/>
    </row>
    <row r="72" spans="1:9" ht="15.75" thickBot="1">
      <c r="A72" s="81"/>
      <c r="B72" s="165"/>
      <c r="C72" s="395"/>
      <c r="D72" s="396"/>
      <c r="E72" s="396"/>
      <c r="F72" s="396"/>
      <c r="G72" s="396"/>
      <c r="H72" s="142"/>
      <c r="I72" s="99"/>
    </row>
    <row r="73" spans="1:9" ht="15.75" thickBot="1">
      <c r="A73" s="296">
        <v>8</v>
      </c>
      <c r="B73" s="297"/>
      <c r="C73" s="298"/>
      <c r="D73" s="341" t="s">
        <v>58</v>
      </c>
      <c r="E73" s="341"/>
      <c r="F73" s="341"/>
      <c r="G73" s="342"/>
      <c r="H73" s="142"/>
      <c r="I73" s="99"/>
    </row>
    <row r="74" spans="1:9" s="246" customFormat="1" ht="15">
      <c r="A74" s="82" t="s">
        <v>273</v>
      </c>
      <c r="B74" s="128"/>
      <c r="C74" s="76">
        <v>901</v>
      </c>
      <c r="D74" s="336" t="s">
        <v>59</v>
      </c>
      <c r="E74" s="337"/>
      <c r="F74" s="337"/>
      <c r="G74" s="337"/>
      <c r="H74" s="130"/>
      <c r="I74" s="247"/>
    </row>
    <row r="75" spans="1:8" ht="36">
      <c r="A75" s="78" t="s">
        <v>275</v>
      </c>
      <c r="B75" s="216" t="s">
        <v>355</v>
      </c>
      <c r="C75" s="125">
        <v>92580</v>
      </c>
      <c r="D75" s="33" t="s">
        <v>644</v>
      </c>
      <c r="E75" s="34" t="s">
        <v>6</v>
      </c>
      <c r="F75" s="35">
        <v>289.86</v>
      </c>
      <c r="G75" s="257" t="s">
        <v>506</v>
      </c>
      <c r="H75" s="130"/>
    </row>
    <row r="76" spans="1:9" s="246" customFormat="1" ht="15">
      <c r="A76" s="82" t="s">
        <v>276</v>
      </c>
      <c r="B76" s="128"/>
      <c r="C76" s="76">
        <v>902</v>
      </c>
      <c r="D76" s="132" t="s">
        <v>60</v>
      </c>
      <c r="E76" s="3"/>
      <c r="F76" s="4"/>
      <c r="G76" s="274"/>
      <c r="H76" s="130"/>
      <c r="I76" s="247"/>
    </row>
    <row r="77" spans="1:8" ht="36">
      <c r="A77" s="78" t="s">
        <v>277</v>
      </c>
      <c r="B77" s="216" t="s">
        <v>354</v>
      </c>
      <c r="C77" s="77">
        <v>90223</v>
      </c>
      <c r="D77" s="33" t="s">
        <v>643</v>
      </c>
      <c r="E77" s="34" t="s">
        <v>6</v>
      </c>
      <c r="F77" s="35">
        <v>289.86</v>
      </c>
      <c r="G77" s="257" t="s">
        <v>506</v>
      </c>
      <c r="H77" s="142"/>
    </row>
    <row r="78" spans="1:9" s="241" customFormat="1" ht="15">
      <c r="A78" s="82" t="s">
        <v>515</v>
      </c>
      <c r="B78" s="128"/>
      <c r="C78" s="76" t="s">
        <v>61</v>
      </c>
      <c r="D78" s="336" t="s">
        <v>62</v>
      </c>
      <c r="E78" s="337"/>
      <c r="F78" s="337"/>
      <c r="G78" s="337"/>
      <c r="H78" s="130"/>
      <c r="I78" s="240"/>
    </row>
    <row r="79" spans="1:8" ht="15">
      <c r="A79" s="84" t="s">
        <v>516</v>
      </c>
      <c r="B79" s="38" t="s">
        <v>354</v>
      </c>
      <c r="C79" s="34">
        <v>90314</v>
      </c>
      <c r="D79" s="33" t="s">
        <v>423</v>
      </c>
      <c r="E79" s="34" t="s">
        <v>13</v>
      </c>
      <c r="F79" s="35">
        <v>29.41</v>
      </c>
      <c r="G79" s="257" t="s">
        <v>505</v>
      </c>
      <c r="H79" s="130"/>
    </row>
    <row r="80" spans="1:8" ht="15">
      <c r="A80" s="84" t="s">
        <v>517</v>
      </c>
      <c r="B80" s="216" t="s">
        <v>354</v>
      </c>
      <c r="C80" s="77">
        <v>90312</v>
      </c>
      <c r="D80" s="33" t="s">
        <v>422</v>
      </c>
      <c r="E80" s="34" t="s">
        <v>13</v>
      </c>
      <c r="F80" s="35">
        <v>32.95</v>
      </c>
      <c r="G80" s="257" t="s">
        <v>504</v>
      </c>
      <c r="H80" s="142"/>
    </row>
    <row r="81" spans="1:9" ht="15.75" thickBot="1">
      <c r="A81" s="81"/>
      <c r="B81" s="165"/>
      <c r="C81" s="398"/>
      <c r="D81" s="399"/>
      <c r="E81" s="399"/>
      <c r="F81" s="399"/>
      <c r="G81" s="399"/>
      <c r="H81" s="142"/>
      <c r="I81" s="99"/>
    </row>
    <row r="82" spans="1:9" ht="15.75" thickBot="1">
      <c r="A82" s="296">
        <v>9</v>
      </c>
      <c r="B82" s="297"/>
      <c r="C82" s="298"/>
      <c r="D82" s="341" t="s">
        <v>64</v>
      </c>
      <c r="E82" s="341"/>
      <c r="F82" s="341"/>
      <c r="G82" s="342"/>
      <c r="H82" s="142"/>
      <c r="I82" s="99"/>
    </row>
    <row r="83" spans="1:9" s="241" customFormat="1" ht="15">
      <c r="A83" s="82" t="s">
        <v>278</v>
      </c>
      <c r="B83" s="128"/>
      <c r="C83" s="76" t="s">
        <v>65</v>
      </c>
      <c r="D83" s="336" t="s">
        <v>66</v>
      </c>
      <c r="E83" s="337"/>
      <c r="F83" s="337"/>
      <c r="G83" s="337"/>
      <c r="H83" s="130"/>
      <c r="I83" s="240"/>
    </row>
    <row r="84" spans="1:8" ht="45">
      <c r="A84" s="78" t="s">
        <v>279</v>
      </c>
      <c r="B84" s="216" t="s">
        <v>354</v>
      </c>
      <c r="C84" s="125">
        <v>100203</v>
      </c>
      <c r="D84" s="33" t="s">
        <v>67</v>
      </c>
      <c r="E84" s="34" t="s">
        <v>6</v>
      </c>
      <c r="F84" s="35">
        <f>123.38+3.69</f>
        <v>127.07</v>
      </c>
      <c r="G84" s="257" t="s">
        <v>489</v>
      </c>
      <c r="H84" s="200"/>
    </row>
    <row r="85" spans="1:9" ht="15.75" thickBot="1">
      <c r="A85" s="81"/>
      <c r="B85" s="165"/>
      <c r="C85" s="333"/>
      <c r="D85" s="334"/>
      <c r="E85" s="334"/>
      <c r="F85" s="334"/>
      <c r="G85" s="334"/>
      <c r="H85" s="250"/>
      <c r="I85" s="99"/>
    </row>
    <row r="86" spans="1:9" ht="15.75" thickBot="1">
      <c r="A86" s="296">
        <v>10</v>
      </c>
      <c r="B86" s="297"/>
      <c r="C86" s="298"/>
      <c r="D86" s="341" t="s">
        <v>69</v>
      </c>
      <c r="E86" s="341"/>
      <c r="F86" s="341"/>
      <c r="G86" s="342"/>
      <c r="H86" s="130"/>
      <c r="I86" s="99"/>
    </row>
    <row r="87" spans="1:9" s="246" customFormat="1" ht="15">
      <c r="A87" s="82" t="s">
        <v>518</v>
      </c>
      <c r="B87" s="128"/>
      <c r="C87" s="135" t="s">
        <v>347</v>
      </c>
      <c r="D87" s="132" t="s">
        <v>71</v>
      </c>
      <c r="E87" s="3"/>
      <c r="F87" s="4"/>
      <c r="G87" s="220"/>
      <c r="H87" s="130"/>
      <c r="I87" s="247"/>
    </row>
    <row r="88" spans="1:8" ht="225">
      <c r="A88" s="78" t="s">
        <v>519</v>
      </c>
      <c r="B88" s="216" t="s">
        <v>354</v>
      </c>
      <c r="C88" s="125">
        <v>110201</v>
      </c>
      <c r="D88" s="33" t="s">
        <v>72</v>
      </c>
      <c r="E88" s="34" t="s">
        <v>6</v>
      </c>
      <c r="F88" s="35">
        <f>18.46+3.68+32.88+17.67+3.24+36.51+14+20+21.18+15.47+7.2+8+22.6+7.29+7.29</f>
        <v>235.46999999999997</v>
      </c>
      <c r="G88" s="258" t="s">
        <v>481</v>
      </c>
      <c r="H88" s="200"/>
    </row>
    <row r="89" spans="1:9" ht="15.75" thickBot="1">
      <c r="A89" s="81"/>
      <c r="B89" s="165"/>
      <c r="C89" s="333"/>
      <c r="D89" s="334"/>
      <c r="E89" s="334"/>
      <c r="F89" s="334"/>
      <c r="G89" s="334"/>
      <c r="H89" s="142"/>
      <c r="I89" s="99"/>
    </row>
    <row r="90" spans="1:9" ht="15.75" thickBot="1">
      <c r="A90" s="296">
        <v>11</v>
      </c>
      <c r="B90" s="297"/>
      <c r="C90" s="298"/>
      <c r="D90" s="341" t="s">
        <v>74</v>
      </c>
      <c r="E90" s="341"/>
      <c r="F90" s="341"/>
      <c r="G90" s="342"/>
      <c r="H90" s="142"/>
      <c r="I90" s="99"/>
    </row>
    <row r="91" spans="1:9" s="241" customFormat="1" ht="15">
      <c r="A91" s="302" t="s">
        <v>280</v>
      </c>
      <c r="B91" s="303"/>
      <c r="C91" s="304" t="s">
        <v>75</v>
      </c>
      <c r="D91" s="422" t="s">
        <v>70</v>
      </c>
      <c r="E91" s="422"/>
      <c r="F91" s="422"/>
      <c r="G91" s="422"/>
      <c r="H91" s="130"/>
      <c r="I91" s="240"/>
    </row>
    <row r="92" spans="1:8" ht="240">
      <c r="A92" s="84" t="s">
        <v>281</v>
      </c>
      <c r="B92" s="216" t="s">
        <v>354</v>
      </c>
      <c r="C92" s="125">
        <v>120101</v>
      </c>
      <c r="D92" s="36" t="s">
        <v>76</v>
      </c>
      <c r="E92" s="34" t="s">
        <v>6</v>
      </c>
      <c r="F92" s="35">
        <f>(19.37+54.68+11.82+13.05+52.92+14.87+37.02+38.22+24.94+22.42+44.1+42.6+20.47+20.47+45.74)+180.03</f>
        <v>642.7200000000001</v>
      </c>
      <c r="G92" s="258" t="s">
        <v>490</v>
      </c>
      <c r="H92" s="142"/>
    </row>
    <row r="93" spans="1:9" s="241" customFormat="1" ht="15">
      <c r="A93" s="82" t="s">
        <v>520</v>
      </c>
      <c r="B93" s="128"/>
      <c r="C93" s="76" t="s">
        <v>77</v>
      </c>
      <c r="D93" s="336" t="s">
        <v>78</v>
      </c>
      <c r="E93" s="337"/>
      <c r="F93" s="337"/>
      <c r="G93" s="337"/>
      <c r="H93" s="130"/>
      <c r="I93" s="240"/>
    </row>
    <row r="94" spans="1:8" ht="165">
      <c r="A94" s="84" t="s">
        <v>521</v>
      </c>
      <c r="B94" s="216" t="s">
        <v>354</v>
      </c>
      <c r="C94" s="125">
        <v>120236</v>
      </c>
      <c r="D94" s="33" t="s">
        <v>79</v>
      </c>
      <c r="E94" s="34" t="s">
        <v>6</v>
      </c>
      <c r="F94" s="35">
        <f>29.04+59.68+31.04+19.67+18.92+41.44+33.52+20.13+19.54+32.62+32.62</f>
        <v>338.22</v>
      </c>
      <c r="G94" s="258" t="s">
        <v>494</v>
      </c>
      <c r="H94" s="142"/>
    </row>
    <row r="95" spans="1:9" s="241" customFormat="1" ht="15">
      <c r="A95" s="82" t="s">
        <v>522</v>
      </c>
      <c r="B95" s="128"/>
      <c r="C95" s="76" t="s">
        <v>80</v>
      </c>
      <c r="D95" s="336" t="s">
        <v>81</v>
      </c>
      <c r="E95" s="337"/>
      <c r="F95" s="337"/>
      <c r="G95" s="337"/>
      <c r="H95" s="130"/>
      <c r="I95" s="240"/>
    </row>
    <row r="96" spans="1:8" ht="240">
      <c r="A96" s="84" t="s">
        <v>523</v>
      </c>
      <c r="B96" s="216" t="s">
        <v>354</v>
      </c>
      <c r="C96" s="125">
        <v>120303</v>
      </c>
      <c r="D96" s="36" t="s">
        <v>82</v>
      </c>
      <c r="E96" s="34" t="s">
        <v>6</v>
      </c>
      <c r="F96" s="35">
        <f>(19.37+54.68+11.82+13.05+52.92+14.87+37.02+38.22+24.94+22.42+44.1+42.6+20.47+20.47+45.74)+180.03</f>
        <v>642.7200000000001</v>
      </c>
      <c r="G96" s="258" t="s">
        <v>493</v>
      </c>
      <c r="H96" s="249"/>
    </row>
    <row r="97" spans="1:9" ht="15.75" thickBot="1">
      <c r="A97" s="81"/>
      <c r="B97" s="165"/>
      <c r="C97" s="395"/>
      <c r="D97" s="396"/>
      <c r="E97" s="396"/>
      <c r="F97" s="396"/>
      <c r="G97" s="396"/>
      <c r="H97" s="142"/>
      <c r="I97" s="99"/>
    </row>
    <row r="98" spans="1:9" ht="15.75" thickBot="1">
      <c r="A98" s="296">
        <v>12</v>
      </c>
      <c r="B98" s="297"/>
      <c r="C98" s="298"/>
      <c r="D98" s="341" t="s">
        <v>84</v>
      </c>
      <c r="E98" s="341"/>
      <c r="F98" s="341"/>
      <c r="G98" s="342"/>
      <c r="H98" s="142"/>
      <c r="I98" s="99"/>
    </row>
    <row r="99" spans="1:9" s="243" customFormat="1" ht="15">
      <c r="A99" s="102" t="s">
        <v>282</v>
      </c>
      <c r="B99" s="166"/>
      <c r="C99" s="103"/>
      <c r="D99" s="328" t="s">
        <v>358</v>
      </c>
      <c r="E99" s="329"/>
      <c r="F99" s="329"/>
      <c r="G99" s="329"/>
      <c r="H99" s="251"/>
      <c r="I99" s="242"/>
    </row>
    <row r="100" spans="1:9" s="270" customFormat="1" ht="15">
      <c r="A100" s="78" t="s">
        <v>283</v>
      </c>
      <c r="B100" s="264" t="s">
        <v>354</v>
      </c>
      <c r="C100" s="265">
        <v>130109</v>
      </c>
      <c r="D100" s="266" t="s">
        <v>85</v>
      </c>
      <c r="E100" s="267" t="s">
        <v>6</v>
      </c>
      <c r="F100" s="35">
        <f>12.42+18.46+3.68+32.88+17.67+3.24+36.51+14+20+21.18+15.47+7.2+8+22.6+7.29+7.29</f>
        <v>247.88999999999996</v>
      </c>
      <c r="G100" s="268" t="s">
        <v>502</v>
      </c>
      <c r="H100" s="252"/>
      <c r="I100" s="269"/>
    </row>
    <row r="101" spans="1:8" ht="36">
      <c r="A101" s="78" t="s">
        <v>524</v>
      </c>
      <c r="B101" s="271" t="s">
        <v>355</v>
      </c>
      <c r="C101" s="265">
        <v>87620</v>
      </c>
      <c r="D101" s="266" t="s">
        <v>356</v>
      </c>
      <c r="E101" s="267" t="s">
        <v>6</v>
      </c>
      <c r="F101" s="35">
        <f>12.42+18.46+3.68+32.88+17.67+3.24+36.51+14+20+21.18+15.47+7.2+8+22.6+7.29+7.29</f>
        <v>247.88999999999996</v>
      </c>
      <c r="G101" s="268" t="s">
        <v>503</v>
      </c>
      <c r="H101" s="142"/>
    </row>
    <row r="102" spans="1:9" s="241" customFormat="1" ht="15">
      <c r="A102" s="102" t="s">
        <v>284</v>
      </c>
      <c r="B102" s="166"/>
      <c r="C102" s="103" t="s">
        <v>86</v>
      </c>
      <c r="D102" s="328" t="s">
        <v>78</v>
      </c>
      <c r="E102" s="329"/>
      <c r="F102" s="329"/>
      <c r="G102" s="329"/>
      <c r="H102" s="130"/>
      <c r="I102" s="240"/>
    </row>
    <row r="103" spans="1:8" ht="45">
      <c r="A103" s="78" t="s">
        <v>285</v>
      </c>
      <c r="B103" s="216" t="s">
        <v>354</v>
      </c>
      <c r="C103" s="125">
        <v>130209</v>
      </c>
      <c r="D103" s="33" t="s">
        <v>357</v>
      </c>
      <c r="E103" s="34" t="s">
        <v>6</v>
      </c>
      <c r="F103" s="35">
        <f>((3+26.44+4.83)*4.35)+(22.15*3.15)+((3.15+10.45+4.35)*3)+(13.66*5)</f>
        <v>340.997</v>
      </c>
      <c r="G103" s="257" t="s">
        <v>501</v>
      </c>
      <c r="H103" s="130"/>
    </row>
    <row r="104" spans="1:8" ht="240">
      <c r="A104" s="78" t="s">
        <v>525</v>
      </c>
      <c r="B104" s="216" t="s">
        <v>354</v>
      </c>
      <c r="C104" s="125">
        <v>130219</v>
      </c>
      <c r="D104" s="33" t="s">
        <v>87</v>
      </c>
      <c r="E104" s="34" t="s">
        <v>6</v>
      </c>
      <c r="F104" s="35">
        <f>12.42+18.46+3.68+32.88+17.67+3.24+36.51+14+20+21.18+15.47+7.2+8+22.6+7.29+7.29</f>
        <v>247.88999999999996</v>
      </c>
      <c r="G104" s="258" t="s">
        <v>482</v>
      </c>
      <c r="H104" s="142"/>
    </row>
    <row r="105" spans="1:9" s="246" customFormat="1" ht="13.5" customHeight="1">
      <c r="A105" s="102" t="s">
        <v>286</v>
      </c>
      <c r="B105" s="166"/>
      <c r="C105" s="103" t="s">
        <v>88</v>
      </c>
      <c r="D105" s="328" t="s">
        <v>89</v>
      </c>
      <c r="E105" s="329"/>
      <c r="F105" s="329"/>
      <c r="G105" s="329"/>
      <c r="H105" s="130"/>
      <c r="I105" s="247"/>
    </row>
    <row r="106" spans="1:8" ht="45">
      <c r="A106" s="78" t="s">
        <v>526</v>
      </c>
      <c r="B106" s="216" t="s">
        <v>354</v>
      </c>
      <c r="C106" s="77">
        <v>130308</v>
      </c>
      <c r="D106" s="260" t="s">
        <v>90</v>
      </c>
      <c r="E106" s="34" t="s">
        <v>13</v>
      </c>
      <c r="F106" s="35">
        <f>12+3.6+1</f>
        <v>16.6</v>
      </c>
      <c r="G106" s="257" t="s">
        <v>495</v>
      </c>
      <c r="H106" s="130"/>
    </row>
    <row r="107" spans="1:9" ht="15.75" thickBot="1">
      <c r="A107" s="81"/>
      <c r="B107" s="165"/>
      <c r="C107" s="333"/>
      <c r="D107" s="334"/>
      <c r="E107" s="334"/>
      <c r="F107" s="334"/>
      <c r="G107" s="334"/>
      <c r="H107" s="142"/>
      <c r="I107" s="99"/>
    </row>
    <row r="108" spans="1:9" ht="15.75" thickBot="1">
      <c r="A108" s="296">
        <v>13</v>
      </c>
      <c r="B108" s="297"/>
      <c r="C108" s="298"/>
      <c r="D108" s="341" t="s">
        <v>92</v>
      </c>
      <c r="E108" s="341"/>
      <c r="F108" s="341"/>
      <c r="G108" s="342"/>
      <c r="H108" s="142"/>
      <c r="I108" s="99"/>
    </row>
    <row r="109" spans="1:9" ht="15">
      <c r="A109" s="102" t="s">
        <v>287</v>
      </c>
      <c r="B109" s="166"/>
      <c r="C109" s="104">
        <v>1402</v>
      </c>
      <c r="D109" s="328" t="s">
        <v>93</v>
      </c>
      <c r="E109" s="329"/>
      <c r="F109" s="329"/>
      <c r="G109" s="329"/>
      <c r="H109" s="130"/>
      <c r="I109" s="99"/>
    </row>
    <row r="110" spans="1:9" ht="36">
      <c r="A110" s="84" t="s">
        <v>288</v>
      </c>
      <c r="B110" s="163" t="s">
        <v>354</v>
      </c>
      <c r="C110" s="85">
        <v>140207</v>
      </c>
      <c r="D110" s="86" t="s">
        <v>94</v>
      </c>
      <c r="E110" s="87" t="s">
        <v>4</v>
      </c>
      <c r="F110" s="88">
        <v>1</v>
      </c>
      <c r="G110" s="227" t="s">
        <v>192</v>
      </c>
      <c r="H110" s="130"/>
      <c r="I110" s="99"/>
    </row>
    <row r="111" spans="1:9" ht="36">
      <c r="A111" s="84" t="s">
        <v>289</v>
      </c>
      <c r="B111" s="163" t="s">
        <v>354</v>
      </c>
      <c r="C111" s="85">
        <v>140209</v>
      </c>
      <c r="D111" s="86" t="s">
        <v>95</v>
      </c>
      <c r="E111" s="87" t="s">
        <v>4</v>
      </c>
      <c r="F111" s="88">
        <v>1</v>
      </c>
      <c r="G111" s="227" t="s">
        <v>192</v>
      </c>
      <c r="H111" s="142"/>
      <c r="I111" s="99"/>
    </row>
    <row r="112" spans="1:8" ht="15">
      <c r="A112" s="102" t="s">
        <v>290</v>
      </c>
      <c r="B112" s="166"/>
      <c r="C112" s="104">
        <v>1407</v>
      </c>
      <c r="D112" s="328" t="s">
        <v>96</v>
      </c>
      <c r="E112" s="329"/>
      <c r="F112" s="329"/>
      <c r="G112" s="329"/>
      <c r="H112" s="130"/>
    </row>
    <row r="113" spans="1:8" ht="15">
      <c r="A113" s="78" t="s">
        <v>291</v>
      </c>
      <c r="B113" s="216" t="s">
        <v>354</v>
      </c>
      <c r="C113" s="77">
        <v>140707</v>
      </c>
      <c r="D113" s="33" t="s">
        <v>98</v>
      </c>
      <c r="E113" s="34" t="s">
        <v>97</v>
      </c>
      <c r="F113" s="35">
        <v>7</v>
      </c>
      <c r="G113" s="227" t="s">
        <v>192</v>
      </c>
      <c r="H113" s="130"/>
    </row>
    <row r="114" spans="1:9" ht="15">
      <c r="A114" s="78" t="s">
        <v>292</v>
      </c>
      <c r="B114" s="216" t="s">
        <v>354</v>
      </c>
      <c r="C114" s="77">
        <v>140708</v>
      </c>
      <c r="D114" s="33" t="s">
        <v>352</v>
      </c>
      <c r="E114" s="34" t="s">
        <v>4</v>
      </c>
      <c r="F114" s="35">
        <v>3</v>
      </c>
      <c r="G114" s="227" t="s">
        <v>192</v>
      </c>
      <c r="H114" s="130"/>
      <c r="I114" s="99"/>
    </row>
    <row r="115" spans="1:8" ht="15">
      <c r="A115" s="102" t="s">
        <v>293</v>
      </c>
      <c r="B115" s="166"/>
      <c r="C115" s="104">
        <v>1411</v>
      </c>
      <c r="D115" s="328" t="s">
        <v>99</v>
      </c>
      <c r="E115" s="329"/>
      <c r="F115" s="329"/>
      <c r="G115" s="329"/>
      <c r="H115" s="130"/>
    </row>
    <row r="116" spans="1:8" ht="36">
      <c r="A116" s="78" t="s">
        <v>294</v>
      </c>
      <c r="B116" s="216" t="s">
        <v>354</v>
      </c>
      <c r="C116" s="77">
        <v>141101</v>
      </c>
      <c r="D116" s="33" t="s">
        <v>100</v>
      </c>
      <c r="E116" s="34" t="s">
        <v>4</v>
      </c>
      <c r="F116" s="35">
        <v>2</v>
      </c>
      <c r="G116" s="227" t="s">
        <v>192</v>
      </c>
      <c r="H116" s="130"/>
    </row>
    <row r="117" spans="1:9" ht="36">
      <c r="A117" s="78" t="s">
        <v>527</v>
      </c>
      <c r="B117" s="216" t="s">
        <v>354</v>
      </c>
      <c r="C117" s="77">
        <v>141104</v>
      </c>
      <c r="D117" s="33" t="s">
        <v>101</v>
      </c>
      <c r="E117" s="34" t="s">
        <v>4</v>
      </c>
      <c r="F117" s="35">
        <v>1</v>
      </c>
      <c r="G117" s="227" t="s">
        <v>192</v>
      </c>
      <c r="H117" s="141"/>
      <c r="I117" s="99"/>
    </row>
    <row r="118" spans="1:8" ht="15">
      <c r="A118" s="102" t="s">
        <v>528</v>
      </c>
      <c r="B118" s="166"/>
      <c r="C118" s="115" t="s">
        <v>183</v>
      </c>
      <c r="D118" s="328" t="s">
        <v>102</v>
      </c>
      <c r="E118" s="329"/>
      <c r="F118" s="329"/>
      <c r="G118" s="329"/>
      <c r="H118" s="141"/>
    </row>
    <row r="119" spans="1:8" ht="15">
      <c r="A119" s="78" t="s">
        <v>529</v>
      </c>
      <c r="B119" s="216" t="s">
        <v>354</v>
      </c>
      <c r="C119" s="77">
        <v>141410</v>
      </c>
      <c r="D119" s="33" t="s">
        <v>103</v>
      </c>
      <c r="E119" s="34" t="s">
        <v>13</v>
      </c>
      <c r="F119" s="35">
        <f>0.85+19.83</f>
        <v>20.68</v>
      </c>
      <c r="G119" s="227" t="s">
        <v>192</v>
      </c>
      <c r="H119" s="142"/>
    </row>
    <row r="120" spans="1:8" ht="15">
      <c r="A120" s="78" t="s">
        <v>530</v>
      </c>
      <c r="B120" s="216" t="s">
        <v>354</v>
      </c>
      <c r="C120" s="77">
        <v>141412</v>
      </c>
      <c r="D120" s="33" t="s">
        <v>387</v>
      </c>
      <c r="E120" s="34" t="s">
        <v>13</v>
      </c>
      <c r="F120" s="35">
        <v>2.58</v>
      </c>
      <c r="G120" s="227" t="s">
        <v>192</v>
      </c>
      <c r="H120" s="130"/>
    </row>
    <row r="121" spans="1:8" ht="15">
      <c r="A121" s="78" t="s">
        <v>531</v>
      </c>
      <c r="B121" s="216" t="s">
        <v>354</v>
      </c>
      <c r="C121" s="77">
        <v>141413</v>
      </c>
      <c r="D121" s="33" t="s">
        <v>345</v>
      </c>
      <c r="E121" s="34" t="s">
        <v>13</v>
      </c>
      <c r="F121" s="35">
        <v>29.81</v>
      </c>
      <c r="G121" s="227" t="s">
        <v>192</v>
      </c>
      <c r="H121" s="141"/>
    </row>
    <row r="122" spans="1:8" ht="15">
      <c r="A122" s="78" t="s">
        <v>532</v>
      </c>
      <c r="B122" s="216" t="s">
        <v>354</v>
      </c>
      <c r="C122" s="77">
        <v>141414</v>
      </c>
      <c r="D122" s="33" t="s">
        <v>344</v>
      </c>
      <c r="E122" s="34" t="s">
        <v>13</v>
      </c>
      <c r="F122" s="35">
        <v>45.81</v>
      </c>
      <c r="G122" s="227" t="s">
        <v>192</v>
      </c>
      <c r="H122" s="142"/>
    </row>
    <row r="123" spans="1:9" ht="15">
      <c r="A123" s="78" t="s">
        <v>533</v>
      </c>
      <c r="B123" s="216" t="s">
        <v>354</v>
      </c>
      <c r="C123" s="77">
        <v>141415</v>
      </c>
      <c r="D123" s="233" t="s">
        <v>388</v>
      </c>
      <c r="E123" s="34" t="s">
        <v>13</v>
      </c>
      <c r="F123" s="35">
        <v>22.26</v>
      </c>
      <c r="G123" s="227" t="s">
        <v>192</v>
      </c>
      <c r="H123" s="142"/>
      <c r="I123" s="99"/>
    </row>
    <row r="124" spans="1:8" ht="15">
      <c r="A124" s="102" t="s">
        <v>534</v>
      </c>
      <c r="B124" s="166"/>
      <c r="C124" s="115"/>
      <c r="D124" s="328" t="s">
        <v>407</v>
      </c>
      <c r="E124" s="329"/>
      <c r="F124" s="329"/>
      <c r="G124" s="329"/>
      <c r="H124" s="142"/>
    </row>
    <row r="125" spans="1:8" ht="36">
      <c r="A125" s="78" t="s">
        <v>535</v>
      </c>
      <c r="B125" s="38" t="s">
        <v>355</v>
      </c>
      <c r="C125" s="171">
        <v>89396</v>
      </c>
      <c r="D125" s="33" t="s">
        <v>409</v>
      </c>
      <c r="E125" s="34" t="s">
        <v>4</v>
      </c>
      <c r="F125" s="35">
        <v>1</v>
      </c>
      <c r="G125" s="227" t="s">
        <v>192</v>
      </c>
      <c r="H125" s="142"/>
    </row>
    <row r="126" spans="1:8" ht="36">
      <c r="A126" s="78" t="s">
        <v>536</v>
      </c>
      <c r="B126" s="38" t="s">
        <v>355</v>
      </c>
      <c r="C126" s="171">
        <v>94698</v>
      </c>
      <c r="D126" s="33" t="s">
        <v>410</v>
      </c>
      <c r="E126" s="34" t="s">
        <v>4</v>
      </c>
      <c r="F126" s="35">
        <v>2</v>
      </c>
      <c r="G126" s="227" t="s">
        <v>192</v>
      </c>
      <c r="H126" s="142"/>
    </row>
    <row r="127" spans="1:8" ht="24">
      <c r="A127" s="78" t="s">
        <v>537</v>
      </c>
      <c r="B127" s="38" t="s">
        <v>355</v>
      </c>
      <c r="C127" s="171">
        <v>89440</v>
      </c>
      <c r="D127" s="33" t="s">
        <v>411</v>
      </c>
      <c r="E127" s="34" t="s">
        <v>4</v>
      </c>
      <c r="F127" s="35">
        <v>7</v>
      </c>
      <c r="G127" s="227" t="s">
        <v>192</v>
      </c>
      <c r="H127" s="142"/>
    </row>
    <row r="128" spans="1:8" ht="24">
      <c r="A128" s="78" t="s">
        <v>538</v>
      </c>
      <c r="B128" s="38" t="s">
        <v>355</v>
      </c>
      <c r="C128" s="171">
        <v>89623</v>
      </c>
      <c r="D128" s="33" t="s">
        <v>412</v>
      </c>
      <c r="E128" s="34" t="s">
        <v>4</v>
      </c>
      <c r="F128" s="35">
        <v>1</v>
      </c>
      <c r="G128" s="227" t="s">
        <v>192</v>
      </c>
      <c r="H128" s="142"/>
    </row>
    <row r="129" spans="1:8" ht="24">
      <c r="A129" s="78" t="s">
        <v>539</v>
      </c>
      <c r="B129" s="38" t="s">
        <v>355</v>
      </c>
      <c r="C129" s="171">
        <v>89628</v>
      </c>
      <c r="D129" s="33" t="s">
        <v>413</v>
      </c>
      <c r="E129" s="34" t="s">
        <v>4</v>
      </c>
      <c r="F129" s="35">
        <v>8</v>
      </c>
      <c r="G129" s="227" t="s">
        <v>192</v>
      </c>
      <c r="H129" s="142"/>
    </row>
    <row r="130" spans="1:8" ht="24">
      <c r="A130" s="78" t="s">
        <v>540</v>
      </c>
      <c r="B130" s="38" t="s">
        <v>355</v>
      </c>
      <c r="C130" s="171">
        <v>89629</v>
      </c>
      <c r="D130" s="33" t="s">
        <v>414</v>
      </c>
      <c r="E130" s="34" t="s">
        <v>4</v>
      </c>
      <c r="F130" s="35">
        <v>2</v>
      </c>
      <c r="G130" s="227" t="s">
        <v>192</v>
      </c>
      <c r="H130" s="142"/>
    </row>
    <row r="131" spans="1:8" ht="36">
      <c r="A131" s="78" t="s">
        <v>541</v>
      </c>
      <c r="B131" s="38" t="s">
        <v>355</v>
      </c>
      <c r="C131" s="171">
        <v>97484</v>
      </c>
      <c r="D131" s="33" t="s">
        <v>395</v>
      </c>
      <c r="E131" s="34" t="s">
        <v>4</v>
      </c>
      <c r="F131" s="35">
        <v>1</v>
      </c>
      <c r="G131" s="227" t="s">
        <v>192</v>
      </c>
      <c r="H131" s="142"/>
    </row>
    <row r="132" spans="1:8" ht="24">
      <c r="A132" s="78" t="s">
        <v>542</v>
      </c>
      <c r="B132" s="38" t="s">
        <v>355</v>
      </c>
      <c r="C132" s="171">
        <v>89503</v>
      </c>
      <c r="D132" s="33" t="s">
        <v>397</v>
      </c>
      <c r="E132" s="34" t="s">
        <v>4</v>
      </c>
      <c r="F132" s="35">
        <v>1</v>
      </c>
      <c r="G132" s="227" t="s">
        <v>192</v>
      </c>
      <c r="H132" s="142"/>
    </row>
    <row r="133" spans="1:8" ht="36">
      <c r="A133" s="78" t="s">
        <v>543</v>
      </c>
      <c r="B133" s="38" t="s">
        <v>355</v>
      </c>
      <c r="C133" s="171">
        <v>89546</v>
      </c>
      <c r="D133" s="33" t="s">
        <v>396</v>
      </c>
      <c r="E133" s="34" t="s">
        <v>4</v>
      </c>
      <c r="F133" s="35">
        <v>1</v>
      </c>
      <c r="G133" s="227" t="s">
        <v>192</v>
      </c>
      <c r="H133" s="142"/>
    </row>
    <row r="134" spans="1:8" ht="36">
      <c r="A134" s="78" t="s">
        <v>544</v>
      </c>
      <c r="B134" s="38" t="s">
        <v>355</v>
      </c>
      <c r="C134" s="171">
        <v>89366</v>
      </c>
      <c r="D134" s="33" t="s">
        <v>394</v>
      </c>
      <c r="E134" s="34" t="s">
        <v>4</v>
      </c>
      <c r="F134" s="35">
        <v>6</v>
      </c>
      <c r="G134" s="227" t="s">
        <v>192</v>
      </c>
      <c r="H134" s="142"/>
    </row>
    <row r="135" spans="1:8" ht="36">
      <c r="A135" s="78" t="s">
        <v>545</v>
      </c>
      <c r="B135" s="38" t="s">
        <v>355</v>
      </c>
      <c r="C135" s="171">
        <v>90373</v>
      </c>
      <c r="D135" s="33" t="s">
        <v>408</v>
      </c>
      <c r="E135" s="34" t="s">
        <v>4</v>
      </c>
      <c r="F135" s="35">
        <v>11</v>
      </c>
      <c r="G135" s="227" t="s">
        <v>192</v>
      </c>
      <c r="H135" s="142"/>
    </row>
    <row r="136" spans="1:8" ht="24">
      <c r="A136" s="78" t="s">
        <v>546</v>
      </c>
      <c r="B136" s="38" t="s">
        <v>355</v>
      </c>
      <c r="C136" s="171">
        <v>89481</v>
      </c>
      <c r="D136" s="33" t="s">
        <v>398</v>
      </c>
      <c r="E136" s="34" t="s">
        <v>4</v>
      </c>
      <c r="F136" s="35">
        <v>11</v>
      </c>
      <c r="G136" s="227" t="s">
        <v>192</v>
      </c>
      <c r="H136" s="142"/>
    </row>
    <row r="137" spans="1:8" ht="24">
      <c r="A137" s="78" t="s">
        <v>547</v>
      </c>
      <c r="B137" s="38" t="s">
        <v>355</v>
      </c>
      <c r="C137" s="171">
        <v>89497</v>
      </c>
      <c r="D137" s="33" t="s">
        <v>400</v>
      </c>
      <c r="E137" s="34" t="s">
        <v>4</v>
      </c>
      <c r="F137" s="35">
        <v>1</v>
      </c>
      <c r="G137" s="227" t="s">
        <v>192</v>
      </c>
      <c r="H137" s="142"/>
    </row>
    <row r="138" spans="1:8" ht="24">
      <c r="A138" s="78" t="s">
        <v>548</v>
      </c>
      <c r="B138" s="38" t="s">
        <v>355</v>
      </c>
      <c r="C138" s="171">
        <v>89501</v>
      </c>
      <c r="D138" s="33" t="s">
        <v>399</v>
      </c>
      <c r="E138" s="34" t="s">
        <v>4</v>
      </c>
      <c r="F138" s="35">
        <v>5</v>
      </c>
      <c r="G138" s="227" t="s">
        <v>192</v>
      </c>
      <c r="H138" s="142"/>
    </row>
    <row r="139" spans="1:8" ht="24">
      <c r="A139" s="78" t="s">
        <v>549</v>
      </c>
      <c r="B139" s="38" t="s">
        <v>355</v>
      </c>
      <c r="C139" s="171">
        <v>89505</v>
      </c>
      <c r="D139" s="33" t="s">
        <v>401</v>
      </c>
      <c r="E139" s="34" t="s">
        <v>4</v>
      </c>
      <c r="F139" s="35">
        <v>13</v>
      </c>
      <c r="G139" s="227" t="s">
        <v>192</v>
      </c>
      <c r="H139" s="142"/>
    </row>
    <row r="140" spans="1:8" ht="24">
      <c r="A140" s="78" t="s">
        <v>550</v>
      </c>
      <c r="B140" s="38" t="s">
        <v>355</v>
      </c>
      <c r="C140" s="171">
        <v>89513</v>
      </c>
      <c r="D140" s="33" t="s">
        <v>402</v>
      </c>
      <c r="E140" s="34" t="s">
        <v>4</v>
      </c>
      <c r="F140" s="35">
        <v>9</v>
      </c>
      <c r="G140" s="227" t="s">
        <v>192</v>
      </c>
      <c r="H140" s="142"/>
    </row>
    <row r="141" spans="1:8" ht="24">
      <c r="A141" s="78" t="s">
        <v>551</v>
      </c>
      <c r="B141" s="38" t="s">
        <v>355</v>
      </c>
      <c r="C141" s="171">
        <v>89381</v>
      </c>
      <c r="D141" s="33" t="s">
        <v>404</v>
      </c>
      <c r="E141" s="34" t="s">
        <v>4</v>
      </c>
      <c r="F141" s="35">
        <v>3</v>
      </c>
      <c r="G141" s="227" t="s">
        <v>192</v>
      </c>
      <c r="H141" s="142"/>
    </row>
    <row r="142" spans="1:8" ht="24">
      <c r="A142" s="78" t="s">
        <v>552</v>
      </c>
      <c r="B142" s="38" t="s">
        <v>355</v>
      </c>
      <c r="C142" s="77">
        <v>89611</v>
      </c>
      <c r="D142" s="233" t="s">
        <v>406</v>
      </c>
      <c r="E142" s="34" t="s">
        <v>4</v>
      </c>
      <c r="F142" s="35">
        <v>2</v>
      </c>
      <c r="G142" s="227" t="s">
        <v>192</v>
      </c>
      <c r="H142" s="142"/>
    </row>
    <row r="143" spans="1:9" ht="24">
      <c r="A143" s="78" t="s">
        <v>553</v>
      </c>
      <c r="B143" s="38" t="s">
        <v>355</v>
      </c>
      <c r="C143" s="77">
        <v>89597</v>
      </c>
      <c r="D143" s="233" t="s">
        <v>405</v>
      </c>
      <c r="E143" s="34" t="s">
        <v>4</v>
      </c>
      <c r="F143" s="35">
        <v>8</v>
      </c>
      <c r="G143" s="227" t="s">
        <v>192</v>
      </c>
      <c r="H143" s="142"/>
      <c r="I143" s="99"/>
    </row>
    <row r="144" spans="1:8" ht="15">
      <c r="A144" s="78" t="s">
        <v>554</v>
      </c>
      <c r="B144" s="38" t="s">
        <v>355</v>
      </c>
      <c r="C144" s="77">
        <v>72293</v>
      </c>
      <c r="D144" s="233" t="s">
        <v>510</v>
      </c>
      <c r="E144" s="34" t="s">
        <v>4</v>
      </c>
      <c r="F144" s="239">
        <v>1</v>
      </c>
      <c r="G144" s="227" t="s">
        <v>192</v>
      </c>
      <c r="H144" s="142"/>
    </row>
    <row r="145" spans="1:8" ht="15">
      <c r="A145" s="78" t="s">
        <v>621</v>
      </c>
      <c r="B145" s="38" t="s">
        <v>355</v>
      </c>
      <c r="C145" s="77">
        <v>813</v>
      </c>
      <c r="D145" s="233" t="s">
        <v>620</v>
      </c>
      <c r="E145" s="34" t="s">
        <v>4</v>
      </c>
      <c r="F145" s="239">
        <v>2</v>
      </c>
      <c r="G145" s="227" t="s">
        <v>192</v>
      </c>
      <c r="H145" s="142"/>
    </row>
    <row r="146" spans="1:8" ht="15">
      <c r="A146" s="102" t="s">
        <v>555</v>
      </c>
      <c r="B146" s="166"/>
      <c r="C146" s="115">
        <v>1401</v>
      </c>
      <c r="D146" s="328" t="s">
        <v>348</v>
      </c>
      <c r="E146" s="329"/>
      <c r="F146" s="329"/>
      <c r="G146" s="329"/>
      <c r="H146" s="141"/>
    </row>
    <row r="147" spans="1:8" ht="36">
      <c r="A147" s="38" t="s">
        <v>556</v>
      </c>
      <c r="B147" s="216" t="s">
        <v>354</v>
      </c>
      <c r="C147" s="38">
        <v>140103</v>
      </c>
      <c r="D147" s="36" t="s">
        <v>349</v>
      </c>
      <c r="E147" s="34" t="s">
        <v>4</v>
      </c>
      <c r="F147" s="35">
        <v>1</v>
      </c>
      <c r="G147" s="227" t="s">
        <v>192</v>
      </c>
      <c r="H147" s="141"/>
    </row>
    <row r="148" spans="1:8" ht="36">
      <c r="A148" s="38" t="s">
        <v>557</v>
      </c>
      <c r="B148" s="216" t="s">
        <v>354</v>
      </c>
      <c r="C148" s="38">
        <v>140102</v>
      </c>
      <c r="D148" s="36" t="s">
        <v>350</v>
      </c>
      <c r="E148" s="34" t="s">
        <v>4</v>
      </c>
      <c r="F148" s="35">
        <v>1</v>
      </c>
      <c r="G148" s="227" t="s">
        <v>192</v>
      </c>
      <c r="H148" s="141"/>
    </row>
    <row r="149" spans="1:9" ht="36">
      <c r="A149" s="38" t="s">
        <v>558</v>
      </c>
      <c r="B149" s="226" t="s">
        <v>355</v>
      </c>
      <c r="C149" s="124">
        <v>98078</v>
      </c>
      <c r="D149" s="36" t="s">
        <v>351</v>
      </c>
      <c r="E149" s="34" t="s">
        <v>4</v>
      </c>
      <c r="F149" s="35">
        <v>1</v>
      </c>
      <c r="G149" s="227" t="s">
        <v>192</v>
      </c>
      <c r="H149" s="141"/>
      <c r="I149" s="99"/>
    </row>
    <row r="150" spans="1:8" ht="15">
      <c r="A150" s="102" t="s">
        <v>559</v>
      </c>
      <c r="B150" s="166"/>
      <c r="C150" s="104">
        <v>1419</v>
      </c>
      <c r="D150" s="328" t="s">
        <v>104</v>
      </c>
      <c r="E150" s="329"/>
      <c r="F150" s="329"/>
      <c r="G150" s="329"/>
      <c r="H150" s="142"/>
    </row>
    <row r="151" spans="1:9" ht="24">
      <c r="A151" s="78" t="s">
        <v>560</v>
      </c>
      <c r="B151" s="216" t="s">
        <v>354</v>
      </c>
      <c r="C151" s="77">
        <v>141906</v>
      </c>
      <c r="D151" s="33" t="s">
        <v>105</v>
      </c>
      <c r="E151" s="34" t="s">
        <v>13</v>
      </c>
      <c r="F151" s="35">
        <v>38.92</v>
      </c>
      <c r="G151" s="227" t="s">
        <v>192</v>
      </c>
      <c r="H151" s="130"/>
      <c r="I151" s="93"/>
    </row>
    <row r="152" spans="1:9" ht="15">
      <c r="A152" s="78" t="s">
        <v>561</v>
      </c>
      <c r="B152" s="216" t="s">
        <v>354</v>
      </c>
      <c r="C152" s="77">
        <v>141907</v>
      </c>
      <c r="D152" s="33" t="s">
        <v>106</v>
      </c>
      <c r="E152" s="34" t="s">
        <v>13</v>
      </c>
      <c r="F152" s="35">
        <v>30.88</v>
      </c>
      <c r="G152" s="227" t="s">
        <v>192</v>
      </c>
      <c r="H152" s="130"/>
      <c r="I152" s="93"/>
    </row>
    <row r="153" spans="1:13" ht="15">
      <c r="A153" s="78" t="s">
        <v>562</v>
      </c>
      <c r="B153" s="216" t="s">
        <v>354</v>
      </c>
      <c r="C153" s="77">
        <v>141909</v>
      </c>
      <c r="D153" s="33" t="s">
        <v>107</v>
      </c>
      <c r="E153" s="34" t="s">
        <v>13</v>
      </c>
      <c r="F153" s="35">
        <v>38.63</v>
      </c>
      <c r="G153" s="227" t="s">
        <v>192</v>
      </c>
      <c r="H153" s="130"/>
      <c r="I153" s="99"/>
      <c r="J153" s="113"/>
      <c r="K153" s="113"/>
      <c r="L153" s="113"/>
      <c r="M153" s="113"/>
    </row>
    <row r="154" spans="1:8" ht="15">
      <c r="A154" s="102" t="s">
        <v>563</v>
      </c>
      <c r="B154" s="166"/>
      <c r="C154" s="104">
        <v>1419</v>
      </c>
      <c r="D154" s="328" t="s">
        <v>378</v>
      </c>
      <c r="E154" s="329"/>
      <c r="F154" s="329"/>
      <c r="G154" s="329"/>
      <c r="H154" s="142"/>
    </row>
    <row r="155" spans="1:8" ht="24">
      <c r="A155" s="78" t="s">
        <v>564</v>
      </c>
      <c r="B155" s="216" t="s">
        <v>355</v>
      </c>
      <c r="C155" s="77">
        <v>89499</v>
      </c>
      <c r="D155" s="233" t="s">
        <v>372</v>
      </c>
      <c r="E155" s="34" t="s">
        <v>4</v>
      </c>
      <c r="F155" s="239">
        <v>18</v>
      </c>
      <c r="G155" s="227" t="s">
        <v>192</v>
      </c>
      <c r="H155" s="141"/>
    </row>
    <row r="156" spans="1:8" ht="36">
      <c r="A156" s="78" t="s">
        <v>565</v>
      </c>
      <c r="B156" s="216" t="s">
        <v>355</v>
      </c>
      <c r="C156" s="77">
        <v>89746</v>
      </c>
      <c r="D156" s="233" t="s">
        <v>373</v>
      </c>
      <c r="E156" s="34" t="s">
        <v>4</v>
      </c>
      <c r="F156" s="239">
        <v>10</v>
      </c>
      <c r="G156" s="227" t="s">
        <v>192</v>
      </c>
      <c r="H156" s="141"/>
    </row>
    <row r="157" spans="1:8" ht="36">
      <c r="A157" s="78" t="s">
        <v>566</v>
      </c>
      <c r="B157" s="216" t="s">
        <v>355</v>
      </c>
      <c r="C157" s="77">
        <v>89802</v>
      </c>
      <c r="D157" s="233" t="s">
        <v>374</v>
      </c>
      <c r="E157" s="34" t="s">
        <v>4</v>
      </c>
      <c r="F157" s="239">
        <v>7</v>
      </c>
      <c r="G157" s="227" t="s">
        <v>192</v>
      </c>
      <c r="H157" s="141"/>
    </row>
    <row r="158" spans="1:8" ht="36">
      <c r="A158" s="78" t="s">
        <v>567</v>
      </c>
      <c r="B158" s="216" t="s">
        <v>355</v>
      </c>
      <c r="C158" s="77">
        <v>92385</v>
      </c>
      <c r="D158" s="233" t="s">
        <v>375</v>
      </c>
      <c r="E158" s="34" t="s">
        <v>4</v>
      </c>
      <c r="F158" s="239">
        <v>20</v>
      </c>
      <c r="G158" s="227" t="s">
        <v>192</v>
      </c>
      <c r="H158" s="141"/>
    </row>
    <row r="159" spans="1:8" ht="36">
      <c r="A159" s="78" t="s">
        <v>568</v>
      </c>
      <c r="B159" s="216" t="s">
        <v>355</v>
      </c>
      <c r="C159" s="77">
        <v>89809</v>
      </c>
      <c r="D159" s="233" t="s">
        <v>376</v>
      </c>
      <c r="E159" s="34" t="s">
        <v>4</v>
      </c>
      <c r="F159" s="239">
        <v>5</v>
      </c>
      <c r="G159" s="227" t="s">
        <v>192</v>
      </c>
      <c r="H159" s="141"/>
    </row>
    <row r="160" spans="1:8" ht="36">
      <c r="A160" s="78" t="s">
        <v>569</v>
      </c>
      <c r="B160" s="216" t="s">
        <v>355</v>
      </c>
      <c r="C160" s="77">
        <v>92386</v>
      </c>
      <c r="D160" s="233" t="s">
        <v>377</v>
      </c>
      <c r="E160" s="34" t="s">
        <v>4</v>
      </c>
      <c r="F160" s="239">
        <v>15</v>
      </c>
      <c r="G160" s="227" t="s">
        <v>192</v>
      </c>
      <c r="H160" s="141"/>
    </row>
    <row r="161" spans="1:8" ht="24">
      <c r="A161" s="78" t="s">
        <v>570</v>
      </c>
      <c r="B161" s="216" t="s">
        <v>355</v>
      </c>
      <c r="C161" s="77">
        <v>89787</v>
      </c>
      <c r="D161" s="233" t="s">
        <v>385</v>
      </c>
      <c r="E161" s="34" t="s">
        <v>4</v>
      </c>
      <c r="F161" s="239">
        <v>20</v>
      </c>
      <c r="G161" s="227" t="s">
        <v>192</v>
      </c>
      <c r="H161" s="141"/>
    </row>
    <row r="162" spans="1:8" ht="36">
      <c r="A162" s="78" t="s">
        <v>571</v>
      </c>
      <c r="B162" s="216" t="s">
        <v>355</v>
      </c>
      <c r="C162" s="77">
        <v>89834</v>
      </c>
      <c r="D162" s="233" t="s">
        <v>380</v>
      </c>
      <c r="E162" s="34" t="s">
        <v>4</v>
      </c>
      <c r="F162" s="239">
        <v>4</v>
      </c>
      <c r="G162" s="227" t="s">
        <v>192</v>
      </c>
      <c r="H162" s="141"/>
    </row>
    <row r="163" spans="1:8" ht="36">
      <c r="A163" s="78" t="s">
        <v>572</v>
      </c>
      <c r="B163" s="216" t="s">
        <v>355</v>
      </c>
      <c r="C163" s="77">
        <v>89827</v>
      </c>
      <c r="D163" s="233" t="s">
        <v>379</v>
      </c>
      <c r="E163" s="34" t="s">
        <v>4</v>
      </c>
      <c r="F163" s="239">
        <v>1</v>
      </c>
      <c r="G163" s="227" t="s">
        <v>192</v>
      </c>
      <c r="H163" s="141"/>
    </row>
    <row r="164" spans="1:9" ht="36">
      <c r="A164" s="78" t="s">
        <v>573</v>
      </c>
      <c r="B164" s="216" t="s">
        <v>355</v>
      </c>
      <c r="C164" s="77">
        <v>89782</v>
      </c>
      <c r="D164" s="233" t="s">
        <v>381</v>
      </c>
      <c r="E164" s="34" t="s">
        <v>4</v>
      </c>
      <c r="F164" s="239">
        <v>3</v>
      </c>
      <c r="G164" s="227" t="s">
        <v>192</v>
      </c>
      <c r="H164" s="141"/>
      <c r="I164" s="99"/>
    </row>
    <row r="165" spans="1:8" ht="15">
      <c r="A165" s="102" t="s">
        <v>574</v>
      </c>
      <c r="B165" s="166"/>
      <c r="C165" s="104">
        <v>1419</v>
      </c>
      <c r="D165" s="328" t="s">
        <v>415</v>
      </c>
      <c r="E165" s="329"/>
      <c r="F165" s="329"/>
      <c r="G165" s="329"/>
      <c r="H165" s="141"/>
    </row>
    <row r="166" spans="1:8" ht="27" customHeight="1">
      <c r="A166" s="78" t="s">
        <v>575</v>
      </c>
      <c r="B166" s="216" t="s">
        <v>354</v>
      </c>
      <c r="C166" s="77">
        <v>141907</v>
      </c>
      <c r="D166" s="33" t="s">
        <v>106</v>
      </c>
      <c r="E166" s="34" t="s">
        <v>13</v>
      </c>
      <c r="F166" s="35">
        <v>10.8</v>
      </c>
      <c r="G166" s="227" t="s">
        <v>192</v>
      </c>
      <c r="H166" s="141"/>
    </row>
    <row r="167" spans="1:8" ht="15">
      <c r="A167" s="78" t="s">
        <v>576</v>
      </c>
      <c r="B167" s="216" t="s">
        <v>354</v>
      </c>
      <c r="C167" s="77">
        <v>141410</v>
      </c>
      <c r="D167" s="233" t="s">
        <v>103</v>
      </c>
      <c r="E167" s="34" t="s">
        <v>13</v>
      </c>
      <c r="F167" s="35">
        <v>0.28</v>
      </c>
      <c r="G167" s="227" t="s">
        <v>192</v>
      </c>
      <c r="H167" s="141"/>
    </row>
    <row r="168" spans="1:8" ht="36">
      <c r="A168" s="78" t="s">
        <v>577</v>
      </c>
      <c r="B168" s="216" t="s">
        <v>355</v>
      </c>
      <c r="C168" s="77">
        <v>89784</v>
      </c>
      <c r="D168" s="233" t="s">
        <v>382</v>
      </c>
      <c r="E168" s="34" t="s">
        <v>4</v>
      </c>
      <c r="F168" s="35">
        <v>3</v>
      </c>
      <c r="G168" s="227" t="s">
        <v>192</v>
      </c>
      <c r="H168" s="141"/>
    </row>
    <row r="169" spans="1:8" ht="24">
      <c r="A169" s="78" t="s">
        <v>578</v>
      </c>
      <c r="B169" s="216" t="s">
        <v>355</v>
      </c>
      <c r="C169" s="77">
        <v>89504</v>
      </c>
      <c r="D169" s="233" t="s">
        <v>383</v>
      </c>
      <c r="E169" s="34" t="s">
        <v>4</v>
      </c>
      <c r="F169" s="35">
        <v>3</v>
      </c>
      <c r="G169" s="227" t="s">
        <v>192</v>
      </c>
      <c r="H169" s="141"/>
    </row>
    <row r="170" spans="1:8" ht="36">
      <c r="A170" s="78" t="s">
        <v>579</v>
      </c>
      <c r="B170" s="216" t="s">
        <v>355</v>
      </c>
      <c r="C170" s="77">
        <v>89802</v>
      </c>
      <c r="D170" s="233" t="s">
        <v>374</v>
      </c>
      <c r="E170" s="34" t="s">
        <v>4</v>
      </c>
      <c r="F170" s="35">
        <v>2</v>
      </c>
      <c r="G170" s="227" t="s">
        <v>192</v>
      </c>
      <c r="H170" s="141"/>
    </row>
    <row r="171" spans="1:9" ht="24">
      <c r="A171" s="78" t="s">
        <v>580</v>
      </c>
      <c r="B171" s="216" t="s">
        <v>355</v>
      </c>
      <c r="C171" s="77">
        <v>89801</v>
      </c>
      <c r="D171" s="233" t="s">
        <v>384</v>
      </c>
      <c r="E171" s="34" t="s">
        <v>4</v>
      </c>
      <c r="F171" s="35">
        <v>3</v>
      </c>
      <c r="G171" s="227" t="s">
        <v>192</v>
      </c>
      <c r="H171" s="141"/>
      <c r="I171" s="99"/>
    </row>
    <row r="172" spans="1:8" ht="15">
      <c r="A172" s="102" t="s">
        <v>581</v>
      </c>
      <c r="B172" s="166"/>
      <c r="C172" s="104">
        <v>1421</v>
      </c>
      <c r="D172" s="328" t="s">
        <v>108</v>
      </c>
      <c r="E172" s="329"/>
      <c r="F172" s="329"/>
      <c r="G172" s="329"/>
      <c r="H172" s="141"/>
    </row>
    <row r="173" spans="1:8" ht="15">
      <c r="A173" s="215" t="s">
        <v>582</v>
      </c>
      <c r="B173" s="38" t="s">
        <v>354</v>
      </c>
      <c r="C173" s="171">
        <v>141527</v>
      </c>
      <c r="D173" s="33" t="s">
        <v>389</v>
      </c>
      <c r="E173" s="34" t="s">
        <v>4</v>
      </c>
      <c r="F173" s="35">
        <v>1</v>
      </c>
      <c r="G173" s="227" t="s">
        <v>192</v>
      </c>
      <c r="H173" s="141"/>
    </row>
    <row r="174" spans="1:8" ht="36">
      <c r="A174" s="215" t="s">
        <v>583</v>
      </c>
      <c r="B174" s="38" t="s">
        <v>355</v>
      </c>
      <c r="C174" s="171">
        <v>89383</v>
      </c>
      <c r="D174" s="33" t="s">
        <v>390</v>
      </c>
      <c r="E174" s="34" t="s">
        <v>4</v>
      </c>
      <c r="F174" s="35">
        <v>18</v>
      </c>
      <c r="G174" s="227" t="s">
        <v>192</v>
      </c>
      <c r="H174" s="141"/>
    </row>
    <row r="175" spans="1:8" ht="36">
      <c r="A175" s="215" t="s">
        <v>584</v>
      </c>
      <c r="B175" s="38" t="s">
        <v>355</v>
      </c>
      <c r="C175" s="171">
        <v>89596</v>
      </c>
      <c r="D175" s="33" t="s">
        <v>391</v>
      </c>
      <c r="E175" s="34" t="s">
        <v>4</v>
      </c>
      <c r="F175" s="35">
        <v>1</v>
      </c>
      <c r="G175" s="227" t="s">
        <v>192</v>
      </c>
      <c r="H175" s="141"/>
    </row>
    <row r="176" spans="1:9" ht="24">
      <c r="A176" s="215" t="s">
        <v>585</v>
      </c>
      <c r="B176" s="38" t="s">
        <v>355</v>
      </c>
      <c r="C176" s="171">
        <v>86884</v>
      </c>
      <c r="D176" s="33" t="s">
        <v>403</v>
      </c>
      <c r="E176" s="34" t="s">
        <v>4</v>
      </c>
      <c r="F176" s="35">
        <v>12</v>
      </c>
      <c r="G176" s="227" t="s">
        <v>192</v>
      </c>
      <c r="H176" s="142"/>
      <c r="I176" s="99"/>
    </row>
    <row r="177" spans="1:9" ht="15.75" thickBot="1">
      <c r="A177" s="79"/>
      <c r="B177" s="152"/>
      <c r="C177" s="209"/>
      <c r="D177" s="209"/>
      <c r="E177" s="209"/>
      <c r="F177" s="209"/>
      <c r="G177" s="221"/>
      <c r="H177" s="130"/>
      <c r="I177" s="99"/>
    </row>
    <row r="178" spans="1:9" ht="15.75" thickBot="1">
      <c r="A178" s="296">
        <v>14</v>
      </c>
      <c r="B178" s="297"/>
      <c r="C178" s="298"/>
      <c r="D178" s="341" t="s">
        <v>134</v>
      </c>
      <c r="E178" s="341"/>
      <c r="F178" s="341"/>
      <c r="G178" s="342"/>
      <c r="H178" s="130"/>
      <c r="I178" s="99"/>
    </row>
    <row r="179" spans="1:8" ht="15">
      <c r="A179" s="102" t="s">
        <v>295</v>
      </c>
      <c r="B179" s="166"/>
      <c r="C179" s="103" t="s">
        <v>135</v>
      </c>
      <c r="D179" s="328" t="s">
        <v>136</v>
      </c>
      <c r="E179" s="329"/>
      <c r="F179" s="329"/>
      <c r="G179" s="329"/>
      <c r="H179" s="130"/>
    </row>
    <row r="180" spans="1:8" ht="24">
      <c r="A180" s="78" t="s">
        <v>296</v>
      </c>
      <c r="B180" s="38" t="s">
        <v>354</v>
      </c>
      <c r="C180" s="77">
        <v>170108</v>
      </c>
      <c r="D180" s="33" t="s">
        <v>137</v>
      </c>
      <c r="E180" s="34" t="s">
        <v>4</v>
      </c>
      <c r="F180" s="35">
        <v>4</v>
      </c>
      <c r="G180" s="227" t="s">
        <v>192</v>
      </c>
      <c r="H180" s="238"/>
    </row>
    <row r="181" spans="1:8" ht="15" customHeight="1">
      <c r="A181" s="78" t="s">
        <v>297</v>
      </c>
      <c r="B181" s="38" t="s">
        <v>354</v>
      </c>
      <c r="C181" s="77">
        <v>170110</v>
      </c>
      <c r="D181" s="33" t="s">
        <v>138</v>
      </c>
      <c r="E181" s="34" t="s">
        <v>4</v>
      </c>
      <c r="F181" s="35">
        <v>4</v>
      </c>
      <c r="G181" s="227" t="s">
        <v>192</v>
      </c>
      <c r="H181" s="238"/>
    </row>
    <row r="182" spans="1:8" ht="15">
      <c r="A182" s="78" t="s">
        <v>586</v>
      </c>
      <c r="B182" s="38" t="s">
        <v>354</v>
      </c>
      <c r="C182" s="77">
        <v>170111</v>
      </c>
      <c r="D182" s="33" t="s">
        <v>139</v>
      </c>
      <c r="E182" s="34" t="s">
        <v>4</v>
      </c>
      <c r="F182" s="35">
        <v>4</v>
      </c>
      <c r="G182" s="227" t="s">
        <v>192</v>
      </c>
      <c r="H182" s="238"/>
    </row>
    <row r="183" spans="1:8" ht="24">
      <c r="A183" s="78" t="s">
        <v>587</v>
      </c>
      <c r="B183" s="38" t="s">
        <v>354</v>
      </c>
      <c r="C183" s="77">
        <v>170115</v>
      </c>
      <c r="D183" s="33" t="s">
        <v>371</v>
      </c>
      <c r="E183" s="34" t="s">
        <v>4</v>
      </c>
      <c r="F183" s="35">
        <v>8</v>
      </c>
      <c r="G183" s="227" t="s">
        <v>192</v>
      </c>
      <c r="H183" s="142"/>
    </row>
    <row r="184" spans="1:9" ht="15">
      <c r="A184" s="78" t="s">
        <v>588</v>
      </c>
      <c r="B184" s="38" t="s">
        <v>354</v>
      </c>
      <c r="C184" s="77">
        <v>170129</v>
      </c>
      <c r="D184" s="33" t="s">
        <v>140</v>
      </c>
      <c r="E184" s="34" t="s">
        <v>4</v>
      </c>
      <c r="F184" s="35">
        <v>5</v>
      </c>
      <c r="G184" s="227" t="s">
        <v>192</v>
      </c>
      <c r="H184" s="142"/>
      <c r="I184" s="99"/>
    </row>
    <row r="185" spans="1:9" ht="15">
      <c r="A185" s="102" t="s">
        <v>298</v>
      </c>
      <c r="B185" s="166"/>
      <c r="C185" s="103" t="s">
        <v>141</v>
      </c>
      <c r="D185" s="328" t="s">
        <v>142</v>
      </c>
      <c r="E185" s="329"/>
      <c r="F185" s="329"/>
      <c r="G185" s="329"/>
      <c r="H185" s="130"/>
      <c r="I185" s="114"/>
    </row>
    <row r="186" spans="1:8" ht="108.75" customHeight="1">
      <c r="A186" s="78" t="s">
        <v>589</v>
      </c>
      <c r="B186" s="38" t="s">
        <v>354</v>
      </c>
      <c r="C186" s="77">
        <v>170220</v>
      </c>
      <c r="D186" s="33" t="s">
        <v>143</v>
      </c>
      <c r="E186" s="34" t="s">
        <v>6</v>
      </c>
      <c r="F186" s="35">
        <f>3.54+1.29+0.71+0.71+0.49+5.12+0.64</f>
        <v>12.5</v>
      </c>
      <c r="G186" s="227" t="s">
        <v>496</v>
      </c>
      <c r="H186" s="142"/>
    </row>
    <row r="187" spans="1:8" ht="15">
      <c r="A187" s="102" t="s">
        <v>299</v>
      </c>
      <c r="B187" s="166"/>
      <c r="C187" s="103" t="s">
        <v>144</v>
      </c>
      <c r="D187" s="328" t="s">
        <v>145</v>
      </c>
      <c r="E187" s="329"/>
      <c r="F187" s="329"/>
      <c r="G187" s="329"/>
      <c r="H187" s="130"/>
    </row>
    <row r="188" spans="1:9" ht="24">
      <c r="A188" s="215" t="s">
        <v>300</v>
      </c>
      <c r="B188" s="38" t="s">
        <v>354</v>
      </c>
      <c r="C188" s="171">
        <v>170304</v>
      </c>
      <c r="D188" s="33" t="s">
        <v>146</v>
      </c>
      <c r="E188" s="34" t="s">
        <v>4</v>
      </c>
      <c r="F188" s="35">
        <v>12</v>
      </c>
      <c r="G188" s="227" t="s">
        <v>192</v>
      </c>
      <c r="H188" s="130"/>
      <c r="I188" s="93"/>
    </row>
    <row r="189" spans="1:8" ht="15">
      <c r="A189" s="215" t="s">
        <v>301</v>
      </c>
      <c r="B189" s="38" t="s">
        <v>354</v>
      </c>
      <c r="C189" s="171">
        <v>170306</v>
      </c>
      <c r="D189" s="33" t="s">
        <v>147</v>
      </c>
      <c r="E189" s="34" t="s">
        <v>4</v>
      </c>
      <c r="F189" s="35">
        <v>2</v>
      </c>
      <c r="G189" s="227" t="s">
        <v>192</v>
      </c>
      <c r="H189" s="142"/>
    </row>
    <row r="190" spans="1:8" ht="15">
      <c r="A190" s="215" t="s">
        <v>590</v>
      </c>
      <c r="B190" s="38" t="s">
        <v>354</v>
      </c>
      <c r="C190" s="171">
        <v>170320</v>
      </c>
      <c r="D190" s="33" t="s">
        <v>181</v>
      </c>
      <c r="E190" s="34" t="s">
        <v>4</v>
      </c>
      <c r="F190" s="35">
        <v>7</v>
      </c>
      <c r="G190" s="227" t="s">
        <v>192</v>
      </c>
      <c r="H190" s="130"/>
    </row>
    <row r="191" spans="1:8" ht="24">
      <c r="A191" s="215" t="s">
        <v>591</v>
      </c>
      <c r="B191" s="38" t="s">
        <v>354</v>
      </c>
      <c r="C191" s="171">
        <v>170317</v>
      </c>
      <c r="D191" s="33" t="s">
        <v>386</v>
      </c>
      <c r="E191" s="34" t="s">
        <v>4</v>
      </c>
      <c r="F191" s="35">
        <v>3</v>
      </c>
      <c r="G191" s="227" t="s">
        <v>192</v>
      </c>
      <c r="H191" s="130"/>
    </row>
    <row r="192" spans="1:8" ht="24">
      <c r="A192" s="215" t="s">
        <v>592</v>
      </c>
      <c r="B192" s="38" t="s">
        <v>355</v>
      </c>
      <c r="C192" s="171">
        <v>90371</v>
      </c>
      <c r="D192" s="33" t="s">
        <v>392</v>
      </c>
      <c r="E192" s="34" t="s">
        <v>4</v>
      </c>
      <c r="F192" s="35">
        <v>1</v>
      </c>
      <c r="G192" s="227" t="s">
        <v>192</v>
      </c>
      <c r="H192" s="130"/>
    </row>
    <row r="193" spans="1:9" ht="24">
      <c r="A193" s="215" t="s">
        <v>593</v>
      </c>
      <c r="B193" s="38" t="s">
        <v>355</v>
      </c>
      <c r="C193" s="171">
        <v>89987</v>
      </c>
      <c r="D193" s="33" t="s">
        <v>393</v>
      </c>
      <c r="E193" s="34" t="s">
        <v>4</v>
      </c>
      <c r="F193" s="35">
        <v>1</v>
      </c>
      <c r="G193" s="227" t="s">
        <v>192</v>
      </c>
      <c r="H193" s="130"/>
      <c r="I193" s="99"/>
    </row>
    <row r="194" spans="1:8" ht="15">
      <c r="A194" s="102" t="s">
        <v>302</v>
      </c>
      <c r="B194" s="166"/>
      <c r="C194" s="104">
        <v>1704</v>
      </c>
      <c r="D194" s="328" t="s">
        <v>148</v>
      </c>
      <c r="E194" s="329"/>
      <c r="F194" s="329"/>
      <c r="G194" s="329"/>
      <c r="H194" s="130"/>
    </row>
    <row r="195" spans="1:8" ht="24">
      <c r="A195" s="78" t="s">
        <v>303</v>
      </c>
      <c r="B195" s="38" t="s">
        <v>354</v>
      </c>
      <c r="C195" s="77">
        <v>170512</v>
      </c>
      <c r="D195" s="33" t="s">
        <v>149</v>
      </c>
      <c r="E195" s="34" t="s">
        <v>4</v>
      </c>
      <c r="F195" s="35">
        <v>4</v>
      </c>
      <c r="G195" s="227" t="s">
        <v>192</v>
      </c>
      <c r="H195" s="130"/>
    </row>
    <row r="196" spans="1:8" ht="24">
      <c r="A196" s="78" t="s">
        <v>304</v>
      </c>
      <c r="B196" s="38" t="s">
        <v>354</v>
      </c>
      <c r="C196" s="77">
        <v>170528</v>
      </c>
      <c r="D196" s="33" t="s">
        <v>420</v>
      </c>
      <c r="E196" s="34" t="s">
        <v>4</v>
      </c>
      <c r="F196" s="35">
        <v>1</v>
      </c>
      <c r="G196" s="227" t="s">
        <v>192</v>
      </c>
      <c r="H196" s="130"/>
    </row>
    <row r="197" spans="1:8" ht="15">
      <c r="A197" s="78" t="s">
        <v>305</v>
      </c>
      <c r="B197" s="38" t="s">
        <v>354</v>
      </c>
      <c r="C197" s="77">
        <v>170541</v>
      </c>
      <c r="D197" s="236" t="s">
        <v>182</v>
      </c>
      <c r="E197" s="34" t="s">
        <v>4</v>
      </c>
      <c r="F197" s="35">
        <v>1</v>
      </c>
      <c r="G197" s="227" t="s">
        <v>192</v>
      </c>
      <c r="H197" s="142"/>
    </row>
    <row r="198" spans="1:8" ht="15">
      <c r="A198" s="78" t="s">
        <v>342</v>
      </c>
      <c r="B198" s="38" t="s">
        <v>354</v>
      </c>
      <c r="C198" s="77">
        <v>180809</v>
      </c>
      <c r="D198" s="33" t="s">
        <v>155</v>
      </c>
      <c r="E198" s="34" t="s">
        <v>4</v>
      </c>
      <c r="F198" s="35">
        <v>3</v>
      </c>
      <c r="G198" s="227" t="s">
        <v>192</v>
      </c>
      <c r="H198" s="142"/>
    </row>
    <row r="199" spans="1:9" ht="15">
      <c r="A199" s="78" t="s">
        <v>343</v>
      </c>
      <c r="B199" s="38" t="s">
        <v>354</v>
      </c>
      <c r="C199" s="77">
        <v>170546</v>
      </c>
      <c r="D199" s="237" t="s">
        <v>150</v>
      </c>
      <c r="E199" s="34" t="s">
        <v>4</v>
      </c>
      <c r="F199" s="35">
        <v>1</v>
      </c>
      <c r="G199" s="227" t="s">
        <v>192</v>
      </c>
      <c r="H199" s="130"/>
      <c r="I199" s="99"/>
    </row>
    <row r="200" spans="1:9" ht="15.75" thickBot="1">
      <c r="A200" s="79"/>
      <c r="B200" s="152"/>
      <c r="C200" s="209"/>
      <c r="D200" s="209"/>
      <c r="E200" s="209"/>
      <c r="F200" s="209"/>
      <c r="G200" s="221"/>
      <c r="H200" s="130"/>
      <c r="I200" s="99"/>
    </row>
    <row r="201" spans="1:9" ht="15.75" thickBot="1">
      <c r="A201" s="296">
        <v>15</v>
      </c>
      <c r="B201" s="297"/>
      <c r="C201" s="298"/>
      <c r="D201" s="341" t="s">
        <v>111</v>
      </c>
      <c r="E201" s="341"/>
      <c r="F201" s="341"/>
      <c r="G201" s="342"/>
      <c r="H201" s="130"/>
      <c r="I201" s="99"/>
    </row>
    <row r="202" spans="1:9" ht="15">
      <c r="A202" s="160" t="s">
        <v>306</v>
      </c>
      <c r="B202" s="206"/>
      <c r="C202" s="299" t="s">
        <v>112</v>
      </c>
      <c r="D202" s="417" t="s">
        <v>113</v>
      </c>
      <c r="E202" s="417"/>
      <c r="F202" s="417"/>
      <c r="G202" s="417"/>
      <c r="H202" s="253"/>
      <c r="I202" s="99"/>
    </row>
    <row r="203" spans="1:9" ht="36">
      <c r="A203" s="84" t="s">
        <v>307</v>
      </c>
      <c r="B203" s="163" t="s">
        <v>354</v>
      </c>
      <c r="C203" s="85">
        <v>150123</v>
      </c>
      <c r="D203" s="86" t="s">
        <v>114</v>
      </c>
      <c r="E203" s="87" t="s">
        <v>4</v>
      </c>
      <c r="F203" s="88">
        <v>1</v>
      </c>
      <c r="G203" s="272">
        <v>1</v>
      </c>
      <c r="H203" s="228"/>
      <c r="I203" s="99"/>
    </row>
    <row r="204" spans="1:8" ht="15">
      <c r="A204" s="102" t="s">
        <v>308</v>
      </c>
      <c r="B204" s="166"/>
      <c r="C204" s="104">
        <v>1502</v>
      </c>
      <c r="D204" s="328" t="s">
        <v>115</v>
      </c>
      <c r="E204" s="329"/>
      <c r="F204" s="329"/>
      <c r="G204" s="329"/>
      <c r="H204" s="142"/>
    </row>
    <row r="205" spans="1:8" ht="23.25" customHeight="1">
      <c r="A205" s="78" t="s">
        <v>309</v>
      </c>
      <c r="B205" s="216" t="s">
        <v>354</v>
      </c>
      <c r="C205" s="77">
        <v>151901</v>
      </c>
      <c r="D205" s="33" t="s">
        <v>425</v>
      </c>
      <c r="E205" s="34" t="s">
        <v>4</v>
      </c>
      <c r="F205" s="35">
        <v>1</v>
      </c>
      <c r="G205" s="257">
        <v>1</v>
      </c>
      <c r="H205" s="130"/>
    </row>
    <row r="206" spans="1:9" ht="36">
      <c r="A206" s="78" t="s">
        <v>310</v>
      </c>
      <c r="B206" s="216" t="s">
        <v>354</v>
      </c>
      <c r="C206" s="77">
        <v>151902</v>
      </c>
      <c r="D206" s="231" t="s">
        <v>426</v>
      </c>
      <c r="E206" s="34" t="s">
        <v>4</v>
      </c>
      <c r="F206" s="35">
        <v>1</v>
      </c>
      <c r="G206" s="257">
        <v>1</v>
      </c>
      <c r="H206" s="130"/>
      <c r="I206" s="99"/>
    </row>
    <row r="207" spans="1:8" ht="15">
      <c r="A207" s="102" t="s">
        <v>311</v>
      </c>
      <c r="B207" s="166"/>
      <c r="C207" s="104">
        <v>1506</v>
      </c>
      <c r="D207" s="328" t="s">
        <v>428</v>
      </c>
      <c r="E207" s="329"/>
      <c r="F207" s="329"/>
      <c r="G207" s="329"/>
      <c r="H207" s="130"/>
    </row>
    <row r="208" spans="1:8" ht="24">
      <c r="A208" s="78" t="s">
        <v>312</v>
      </c>
      <c r="B208" s="226" t="s">
        <v>355</v>
      </c>
      <c r="C208" s="77">
        <v>91940</v>
      </c>
      <c r="D208" s="33" t="s">
        <v>429</v>
      </c>
      <c r="E208" s="34" t="s">
        <v>4</v>
      </c>
      <c r="F208" s="35">
        <v>73</v>
      </c>
      <c r="G208" s="227" t="s">
        <v>192</v>
      </c>
      <c r="H208" s="130"/>
    </row>
    <row r="209" spans="1:10" ht="24">
      <c r="A209" s="78" t="s">
        <v>359</v>
      </c>
      <c r="B209" s="226" t="s">
        <v>355</v>
      </c>
      <c r="C209" s="77">
        <v>91937</v>
      </c>
      <c r="D209" s="36" t="s">
        <v>427</v>
      </c>
      <c r="E209" s="34" t="s">
        <v>191</v>
      </c>
      <c r="F209" s="35">
        <v>46</v>
      </c>
      <c r="G209" s="227" t="s">
        <v>192</v>
      </c>
      <c r="H209" s="130"/>
      <c r="I209" s="99"/>
      <c r="J209" s="113"/>
    </row>
    <row r="210" spans="1:10" ht="15">
      <c r="A210" s="102" t="s">
        <v>313</v>
      </c>
      <c r="B210" s="166"/>
      <c r="C210" s="104">
        <v>1509</v>
      </c>
      <c r="D210" s="328" t="s">
        <v>116</v>
      </c>
      <c r="E210" s="329"/>
      <c r="F210" s="329"/>
      <c r="G210" s="329"/>
      <c r="H210" s="130"/>
      <c r="I210" s="99"/>
      <c r="J210" s="113"/>
    </row>
    <row r="211" spans="1:10" ht="15">
      <c r="A211" s="84" t="s">
        <v>314</v>
      </c>
      <c r="B211" s="163" t="s">
        <v>354</v>
      </c>
      <c r="C211" s="85">
        <v>150918</v>
      </c>
      <c r="D211" s="86" t="s">
        <v>117</v>
      </c>
      <c r="E211" s="87" t="s">
        <v>4</v>
      </c>
      <c r="F211" s="88">
        <v>5</v>
      </c>
      <c r="G211" s="272">
        <v>5</v>
      </c>
      <c r="H211" s="130"/>
      <c r="I211" s="99"/>
      <c r="J211" s="113"/>
    </row>
    <row r="212" spans="1:8" ht="15">
      <c r="A212" s="102" t="s">
        <v>315</v>
      </c>
      <c r="B212" s="166"/>
      <c r="C212" s="104">
        <v>1511</v>
      </c>
      <c r="D212" s="328" t="s">
        <v>118</v>
      </c>
      <c r="E212" s="329"/>
      <c r="F212" s="329"/>
      <c r="G212" s="329"/>
      <c r="H212" s="109"/>
    </row>
    <row r="213" spans="1:13" ht="15">
      <c r="A213" s="78" t="s">
        <v>594</v>
      </c>
      <c r="B213" s="38" t="s">
        <v>354</v>
      </c>
      <c r="C213" s="170">
        <v>151133</v>
      </c>
      <c r="D213" s="234" t="s">
        <v>430</v>
      </c>
      <c r="E213" s="235" t="s">
        <v>188</v>
      </c>
      <c r="F213" s="161">
        <v>551.3</v>
      </c>
      <c r="G213" s="227" t="s">
        <v>192</v>
      </c>
      <c r="H213" s="109"/>
      <c r="I213" s="99"/>
      <c r="J213" s="113"/>
      <c r="K213" s="113"/>
      <c r="L213" s="113"/>
      <c r="M213" s="113"/>
    </row>
    <row r="214" spans="1:8" ht="15">
      <c r="A214" s="102" t="s">
        <v>316</v>
      </c>
      <c r="B214" s="166"/>
      <c r="C214" s="104">
        <v>1508</v>
      </c>
      <c r="D214" s="328" t="s">
        <v>432</v>
      </c>
      <c r="E214" s="329"/>
      <c r="F214" s="329"/>
      <c r="G214" s="329"/>
      <c r="H214" s="109"/>
    </row>
    <row r="215" spans="1:8" ht="24">
      <c r="A215" s="78" t="s">
        <v>317</v>
      </c>
      <c r="B215" s="38" t="s">
        <v>355</v>
      </c>
      <c r="C215" s="77">
        <v>93653</v>
      </c>
      <c r="D215" s="36" t="s">
        <v>433</v>
      </c>
      <c r="E215" s="34" t="s">
        <v>190</v>
      </c>
      <c r="F215" s="109">
        <v>4</v>
      </c>
      <c r="G215" s="227" t="s">
        <v>192</v>
      </c>
      <c r="H215" s="130"/>
    </row>
    <row r="216" spans="1:8" ht="36">
      <c r="A216" s="78" t="s">
        <v>318</v>
      </c>
      <c r="B216" s="38" t="s">
        <v>355</v>
      </c>
      <c r="C216" s="77">
        <v>93654</v>
      </c>
      <c r="D216" s="33" t="s">
        <v>434</v>
      </c>
      <c r="E216" s="34" t="s">
        <v>4</v>
      </c>
      <c r="F216" s="35">
        <v>7</v>
      </c>
      <c r="G216" s="227" t="s">
        <v>192</v>
      </c>
      <c r="H216" s="142"/>
    </row>
    <row r="217" spans="1:8" ht="36">
      <c r="A217" s="78" t="s">
        <v>319</v>
      </c>
      <c r="B217" s="38" t="s">
        <v>355</v>
      </c>
      <c r="C217" s="77">
        <v>93655</v>
      </c>
      <c r="D217" s="33" t="s">
        <v>435</v>
      </c>
      <c r="E217" s="34" t="s">
        <v>4</v>
      </c>
      <c r="F217" s="35">
        <v>4</v>
      </c>
      <c r="G217" s="227" t="s">
        <v>192</v>
      </c>
      <c r="H217" s="130"/>
    </row>
    <row r="218" spans="1:8" ht="36">
      <c r="A218" s="78" t="s">
        <v>320</v>
      </c>
      <c r="B218" s="38" t="s">
        <v>355</v>
      </c>
      <c r="C218" s="77">
        <v>93658</v>
      </c>
      <c r="D218" s="33" t="s">
        <v>436</v>
      </c>
      <c r="E218" s="34" t="s">
        <v>4</v>
      </c>
      <c r="F218" s="35">
        <v>1</v>
      </c>
      <c r="G218" s="227" t="s">
        <v>192</v>
      </c>
      <c r="H218" s="130"/>
    </row>
    <row r="219" spans="1:8" ht="36">
      <c r="A219" s="78" t="s">
        <v>321</v>
      </c>
      <c r="B219" s="38" t="s">
        <v>355</v>
      </c>
      <c r="C219" s="77">
        <v>93659</v>
      </c>
      <c r="D219" s="33" t="s">
        <v>437</v>
      </c>
      <c r="E219" s="34" t="s">
        <v>4</v>
      </c>
      <c r="F219" s="35">
        <v>1</v>
      </c>
      <c r="G219" s="227" t="s">
        <v>192</v>
      </c>
      <c r="H219" s="142"/>
    </row>
    <row r="220" spans="1:8" ht="24">
      <c r="A220" s="78" t="s">
        <v>322</v>
      </c>
      <c r="B220" s="38" t="s">
        <v>354</v>
      </c>
      <c r="C220" s="77">
        <v>151313</v>
      </c>
      <c r="D220" s="33" t="s">
        <v>438</v>
      </c>
      <c r="E220" s="34" t="s">
        <v>4</v>
      </c>
      <c r="F220" s="35">
        <v>2</v>
      </c>
      <c r="G220" s="227" t="s">
        <v>192</v>
      </c>
      <c r="H220" s="244"/>
    </row>
    <row r="221" spans="1:9" s="204" customFormat="1" ht="15">
      <c r="A221" s="78" t="s">
        <v>595</v>
      </c>
      <c r="B221" s="38" t="s">
        <v>354</v>
      </c>
      <c r="C221" s="232">
        <v>151350</v>
      </c>
      <c r="D221" s="233" t="s">
        <v>431</v>
      </c>
      <c r="E221" s="34" t="s">
        <v>4</v>
      </c>
      <c r="F221" s="35">
        <v>2</v>
      </c>
      <c r="G221" s="227" t="s">
        <v>192</v>
      </c>
      <c r="H221" s="244"/>
      <c r="I221" s="203"/>
    </row>
    <row r="222" spans="1:8" ht="15">
      <c r="A222" s="102" t="s">
        <v>323</v>
      </c>
      <c r="B222" s="166"/>
      <c r="C222" s="104"/>
      <c r="D222" s="328" t="s">
        <v>443</v>
      </c>
      <c r="E222" s="329"/>
      <c r="F222" s="329"/>
      <c r="G222" s="329"/>
      <c r="H222" s="244"/>
    </row>
    <row r="223" spans="1:8" ht="15">
      <c r="A223" s="78" t="s">
        <v>324</v>
      </c>
      <c r="B223" s="38" t="s">
        <v>354</v>
      </c>
      <c r="C223" s="232">
        <v>180201</v>
      </c>
      <c r="D223" s="233" t="s">
        <v>444</v>
      </c>
      <c r="E223" s="34" t="s">
        <v>4</v>
      </c>
      <c r="F223" s="35">
        <f>5+11+24</f>
        <v>40</v>
      </c>
      <c r="G223" s="227" t="s">
        <v>192</v>
      </c>
      <c r="H223" s="244"/>
    </row>
    <row r="224" spans="1:8" ht="15">
      <c r="A224" s="78" t="s">
        <v>325</v>
      </c>
      <c r="B224" s="38" t="s">
        <v>354</v>
      </c>
      <c r="C224" s="232">
        <v>180202</v>
      </c>
      <c r="D224" s="233" t="s">
        <v>445</v>
      </c>
      <c r="E224" s="34" t="s">
        <v>4</v>
      </c>
      <c r="F224" s="35">
        <v>7</v>
      </c>
      <c r="G224" s="227" t="s">
        <v>192</v>
      </c>
      <c r="H224" s="244"/>
    </row>
    <row r="225" spans="1:8" ht="15">
      <c r="A225" s="78" t="s">
        <v>596</v>
      </c>
      <c r="B225" s="38" t="s">
        <v>354</v>
      </c>
      <c r="C225" s="232">
        <v>180204</v>
      </c>
      <c r="D225" s="233" t="s">
        <v>446</v>
      </c>
      <c r="E225" s="34" t="s">
        <v>4</v>
      </c>
      <c r="F225" s="35">
        <v>18</v>
      </c>
      <c r="G225" s="227" t="s">
        <v>192</v>
      </c>
      <c r="H225" s="244"/>
    </row>
    <row r="226" spans="1:8" ht="15">
      <c r="A226" s="78" t="s">
        <v>326</v>
      </c>
      <c r="B226" s="38" t="s">
        <v>354</v>
      </c>
      <c r="C226" s="232">
        <v>180206</v>
      </c>
      <c r="D226" s="233" t="s">
        <v>447</v>
      </c>
      <c r="E226" s="34" t="s">
        <v>4</v>
      </c>
      <c r="F226" s="35">
        <v>2</v>
      </c>
      <c r="G226" s="227" t="s">
        <v>192</v>
      </c>
      <c r="H226" s="142"/>
    </row>
    <row r="227" spans="1:8" ht="15">
      <c r="A227" s="102" t="s">
        <v>597</v>
      </c>
      <c r="B227" s="166"/>
      <c r="C227" s="104">
        <v>1514</v>
      </c>
      <c r="D227" s="328" t="s">
        <v>119</v>
      </c>
      <c r="E227" s="329"/>
      <c r="F227" s="329"/>
      <c r="G227" s="329"/>
      <c r="H227" s="142"/>
    </row>
    <row r="228" spans="1:8" ht="15">
      <c r="A228" s="78" t="s">
        <v>598</v>
      </c>
      <c r="B228" s="38" t="s">
        <v>354</v>
      </c>
      <c r="C228" s="77">
        <v>151402</v>
      </c>
      <c r="D228" s="33" t="s">
        <v>120</v>
      </c>
      <c r="E228" s="34" t="s">
        <v>13</v>
      </c>
      <c r="F228" s="35">
        <v>756.1</v>
      </c>
      <c r="G228" s="227" t="s">
        <v>192</v>
      </c>
      <c r="H228" s="230"/>
    </row>
    <row r="229" spans="1:8" ht="15">
      <c r="A229" s="78" t="s">
        <v>599</v>
      </c>
      <c r="B229" s="38" t="s">
        <v>354</v>
      </c>
      <c r="C229" s="77">
        <v>151403</v>
      </c>
      <c r="D229" s="33" t="s">
        <v>121</v>
      </c>
      <c r="E229" s="34" t="s">
        <v>13</v>
      </c>
      <c r="F229" s="35">
        <v>174.9</v>
      </c>
      <c r="G229" s="227" t="s">
        <v>192</v>
      </c>
      <c r="H229" s="130"/>
    </row>
    <row r="230" spans="1:8" ht="15">
      <c r="A230" s="78" t="s">
        <v>600</v>
      </c>
      <c r="B230" s="38" t="s">
        <v>354</v>
      </c>
      <c r="C230" s="77">
        <v>151405</v>
      </c>
      <c r="D230" s="33" t="s">
        <v>122</v>
      </c>
      <c r="E230" s="34" t="s">
        <v>13</v>
      </c>
      <c r="F230" s="35">
        <v>35.2</v>
      </c>
      <c r="G230" s="227" t="s">
        <v>192</v>
      </c>
      <c r="H230" s="130"/>
    </row>
    <row r="231" spans="1:8" ht="15">
      <c r="A231" s="78" t="s">
        <v>601</v>
      </c>
      <c r="B231" s="38" t="s">
        <v>354</v>
      </c>
      <c r="C231" s="77">
        <v>151406</v>
      </c>
      <c r="D231" s="33" t="s">
        <v>123</v>
      </c>
      <c r="E231" s="34" t="s">
        <v>13</v>
      </c>
      <c r="F231" s="35">
        <v>186.7</v>
      </c>
      <c r="G231" s="227" t="s">
        <v>192</v>
      </c>
      <c r="H231" s="130"/>
    </row>
    <row r="232" spans="1:9" s="204" customFormat="1" ht="15">
      <c r="A232" s="78" t="s">
        <v>602</v>
      </c>
      <c r="B232" s="38" t="s">
        <v>354</v>
      </c>
      <c r="C232" s="77">
        <v>151407</v>
      </c>
      <c r="D232" s="231" t="s">
        <v>424</v>
      </c>
      <c r="E232" s="34" t="s">
        <v>13</v>
      </c>
      <c r="F232" s="35">
        <v>373.4</v>
      </c>
      <c r="G232" s="227" t="s">
        <v>192</v>
      </c>
      <c r="H232" s="130"/>
      <c r="I232" s="203"/>
    </row>
    <row r="233" spans="1:8" ht="15">
      <c r="A233" s="102" t="s">
        <v>327</v>
      </c>
      <c r="B233" s="166"/>
      <c r="C233" s="104"/>
      <c r="D233" s="393" t="s">
        <v>449</v>
      </c>
      <c r="E233" s="394"/>
      <c r="F233" s="394"/>
      <c r="G233" s="394"/>
      <c r="H233" s="130"/>
    </row>
    <row r="234" spans="1:8" ht="24">
      <c r="A234" s="215" t="s">
        <v>328</v>
      </c>
      <c r="B234" s="38" t="s">
        <v>354</v>
      </c>
      <c r="C234" s="171">
        <v>180102</v>
      </c>
      <c r="D234" s="36" t="s">
        <v>448</v>
      </c>
      <c r="E234" s="34" t="s">
        <v>4</v>
      </c>
      <c r="F234" s="35">
        <v>20</v>
      </c>
      <c r="G234" s="227" t="s">
        <v>192</v>
      </c>
      <c r="H234" s="130"/>
    </row>
    <row r="235" spans="1:8" ht="24">
      <c r="A235" s="215" t="s">
        <v>603</v>
      </c>
      <c r="B235" s="38" t="s">
        <v>354</v>
      </c>
      <c r="C235" s="171">
        <v>180109</v>
      </c>
      <c r="D235" s="36" t="s">
        <v>450</v>
      </c>
      <c r="E235" s="34" t="s">
        <v>4</v>
      </c>
      <c r="F235" s="35">
        <v>15</v>
      </c>
      <c r="G235" s="227" t="s">
        <v>192</v>
      </c>
      <c r="H235" s="130"/>
    </row>
    <row r="236" spans="1:8" ht="15">
      <c r="A236" s="160" t="s">
        <v>604</v>
      </c>
      <c r="B236" s="206"/>
      <c r="C236" s="207">
        <v>1517</v>
      </c>
      <c r="D236" s="412" t="s">
        <v>124</v>
      </c>
      <c r="E236" s="412"/>
      <c r="F236" s="412"/>
      <c r="G236" s="412"/>
      <c r="H236" s="130"/>
    </row>
    <row r="237" spans="1:8" ht="24">
      <c r="A237" s="84" t="s">
        <v>605</v>
      </c>
      <c r="B237" s="38" t="s">
        <v>354</v>
      </c>
      <c r="C237" s="77">
        <v>151708</v>
      </c>
      <c r="D237" s="229" t="s">
        <v>236</v>
      </c>
      <c r="E237" s="34" t="s">
        <v>4</v>
      </c>
      <c r="F237" s="35">
        <v>1</v>
      </c>
      <c r="G237" s="227">
        <v>1</v>
      </c>
      <c r="H237" s="142"/>
    </row>
    <row r="238" spans="1:8" ht="15.75" thickBot="1">
      <c r="A238" s="288"/>
      <c r="B238" s="289"/>
      <c r="C238" s="420"/>
      <c r="D238" s="421"/>
      <c r="E238" s="421"/>
      <c r="F238" s="421"/>
      <c r="G238" s="421"/>
      <c r="H238" s="130"/>
    </row>
    <row r="239" spans="1:8" ht="15.75" thickBot="1">
      <c r="A239" s="296">
        <v>16</v>
      </c>
      <c r="B239" s="297"/>
      <c r="C239" s="298"/>
      <c r="D239" s="341" t="s">
        <v>126</v>
      </c>
      <c r="E239" s="341"/>
      <c r="F239" s="341"/>
      <c r="G239" s="342"/>
      <c r="H239" s="130"/>
    </row>
    <row r="240" spans="1:8" ht="15">
      <c r="A240" s="211" t="s">
        <v>329</v>
      </c>
      <c r="B240" s="212"/>
      <c r="C240" s="210" t="s">
        <v>127</v>
      </c>
      <c r="D240" s="412" t="s">
        <v>128</v>
      </c>
      <c r="E240" s="412"/>
      <c r="F240" s="412"/>
      <c r="G240" s="412"/>
      <c r="H240" s="130"/>
    </row>
    <row r="241" spans="1:8" ht="24">
      <c r="A241" s="78" t="s">
        <v>330</v>
      </c>
      <c r="B241" s="38" t="s">
        <v>354</v>
      </c>
      <c r="C241" s="77">
        <v>160106</v>
      </c>
      <c r="D241" s="178" t="s">
        <v>129</v>
      </c>
      <c r="E241" s="34" t="s">
        <v>4</v>
      </c>
      <c r="F241" s="35">
        <v>1</v>
      </c>
      <c r="G241" s="227" t="s">
        <v>192</v>
      </c>
      <c r="H241" s="198"/>
    </row>
    <row r="242" spans="1:8" ht="15">
      <c r="A242" s="78" t="s">
        <v>331</v>
      </c>
      <c r="B242" s="38" t="s">
        <v>354</v>
      </c>
      <c r="C242" s="77">
        <v>160108</v>
      </c>
      <c r="D242" s="33" t="s">
        <v>130</v>
      </c>
      <c r="E242" s="34" t="s">
        <v>4</v>
      </c>
      <c r="F242" s="35">
        <v>2</v>
      </c>
      <c r="G242" s="227" t="s">
        <v>192</v>
      </c>
      <c r="H242" s="255"/>
    </row>
    <row r="243" spans="1:8" ht="15">
      <c r="A243" s="78" t="s">
        <v>332</v>
      </c>
      <c r="B243" s="38" t="s">
        <v>354</v>
      </c>
      <c r="C243" s="77">
        <v>160115</v>
      </c>
      <c r="D243" s="33" t="s">
        <v>131</v>
      </c>
      <c r="E243" s="34" t="s">
        <v>13</v>
      </c>
      <c r="F243" s="35">
        <v>30.6</v>
      </c>
      <c r="G243" s="227" t="s">
        <v>192</v>
      </c>
      <c r="H243" s="142"/>
    </row>
    <row r="244" spans="1:8" ht="15">
      <c r="A244" s="78" t="s">
        <v>333</v>
      </c>
      <c r="B244" s="38" t="s">
        <v>354</v>
      </c>
      <c r="C244" s="77">
        <v>160120</v>
      </c>
      <c r="D244" s="33" t="s">
        <v>132</v>
      </c>
      <c r="E244" s="34" t="s">
        <v>4</v>
      </c>
      <c r="F244" s="35">
        <v>4</v>
      </c>
      <c r="G244" s="227" t="s">
        <v>192</v>
      </c>
      <c r="H244" s="130"/>
    </row>
    <row r="245" spans="1:8" ht="15">
      <c r="A245" s="110" t="s">
        <v>606</v>
      </c>
      <c r="B245" s="169"/>
      <c r="C245" s="112">
        <v>1804</v>
      </c>
      <c r="D245" s="388" t="s">
        <v>152</v>
      </c>
      <c r="E245" s="389"/>
      <c r="F245" s="389"/>
      <c r="G245" s="389"/>
      <c r="H245" s="198"/>
    </row>
    <row r="246" spans="1:8" ht="24">
      <c r="A246" s="78" t="s">
        <v>607</v>
      </c>
      <c r="B246" s="226" t="s">
        <v>354</v>
      </c>
      <c r="C246" s="77">
        <v>180702</v>
      </c>
      <c r="D246" s="33" t="s">
        <v>153</v>
      </c>
      <c r="E246" s="34" t="s">
        <v>4</v>
      </c>
      <c r="F246" s="35">
        <v>10</v>
      </c>
      <c r="G246" s="227" t="s">
        <v>192</v>
      </c>
      <c r="H246" s="244"/>
    </row>
    <row r="247" spans="1:8" ht="15">
      <c r="A247" s="110" t="s">
        <v>334</v>
      </c>
      <c r="B247" s="169"/>
      <c r="C247" s="112">
        <v>1805</v>
      </c>
      <c r="D247" s="388" t="s">
        <v>148</v>
      </c>
      <c r="E247" s="389"/>
      <c r="F247" s="389"/>
      <c r="G247" s="389"/>
      <c r="H247" s="142"/>
    </row>
    <row r="248" spans="1:9" ht="15">
      <c r="A248" s="84" t="s">
        <v>335</v>
      </c>
      <c r="B248" s="226" t="s">
        <v>354</v>
      </c>
      <c r="C248" s="77">
        <v>180803</v>
      </c>
      <c r="D248" s="33" t="s">
        <v>154</v>
      </c>
      <c r="E248" s="34" t="s">
        <v>4</v>
      </c>
      <c r="F248" s="35">
        <v>1</v>
      </c>
      <c r="G248" s="227" t="s">
        <v>192</v>
      </c>
      <c r="H248" s="228"/>
      <c r="I248" s="99"/>
    </row>
    <row r="249" spans="1:9" ht="15.75" thickBot="1">
      <c r="A249" s="288"/>
      <c r="B249" s="289"/>
      <c r="C249" s="419"/>
      <c r="D249" s="419"/>
      <c r="E249" s="419"/>
      <c r="F249" s="419"/>
      <c r="G249" s="419"/>
      <c r="H249" s="228"/>
      <c r="I249" s="99"/>
    </row>
    <row r="250" spans="1:9" ht="15.75" thickBot="1">
      <c r="A250" s="296">
        <v>17</v>
      </c>
      <c r="B250" s="297"/>
      <c r="C250" s="298"/>
      <c r="D250" s="341" t="s">
        <v>157</v>
      </c>
      <c r="E250" s="341"/>
      <c r="F250" s="341"/>
      <c r="G250" s="342"/>
      <c r="H250" s="228"/>
      <c r="I250" s="99"/>
    </row>
    <row r="251" spans="1:8" ht="15">
      <c r="A251" s="293" t="s">
        <v>336</v>
      </c>
      <c r="B251" s="294"/>
      <c r="C251" s="295" t="s">
        <v>158</v>
      </c>
      <c r="D251" s="411" t="s">
        <v>159</v>
      </c>
      <c r="E251" s="411"/>
      <c r="F251" s="411"/>
      <c r="G251" s="411"/>
      <c r="H251" s="228"/>
    </row>
    <row r="252" spans="1:8" ht="120">
      <c r="A252" s="84" t="s">
        <v>337</v>
      </c>
      <c r="B252" s="38" t="s">
        <v>354</v>
      </c>
      <c r="C252" s="171">
        <v>190103</v>
      </c>
      <c r="D252" s="33" t="s">
        <v>160</v>
      </c>
      <c r="E252" s="34" t="s">
        <v>6</v>
      </c>
      <c r="F252" s="35">
        <f>(11.82+13.05+52.92+37.02+30.4+34.01+13.83+45.74)</f>
        <v>238.79000000000002</v>
      </c>
      <c r="G252" s="258" t="s">
        <v>497</v>
      </c>
      <c r="H252" s="228"/>
    </row>
    <row r="253" spans="1:8" ht="150">
      <c r="A253" s="84" t="s">
        <v>338</v>
      </c>
      <c r="B253" s="38" t="s">
        <v>354</v>
      </c>
      <c r="C253" s="171">
        <v>190106</v>
      </c>
      <c r="D253" s="33" t="s">
        <v>161</v>
      </c>
      <c r="E253" s="34" t="s">
        <v>6</v>
      </c>
      <c r="F253" s="35">
        <f>(11.82+13.05+52.92+37.02+30.4+34.01+13.83+45.74)+180.03+235.47</f>
        <v>654.2900000000001</v>
      </c>
      <c r="G253" s="258" t="s">
        <v>491</v>
      </c>
      <c r="H253" s="228"/>
    </row>
    <row r="254" spans="1:8" ht="135">
      <c r="A254" s="84" t="s">
        <v>339</v>
      </c>
      <c r="B254" s="38" t="s">
        <v>354</v>
      </c>
      <c r="C254" s="171">
        <v>190114</v>
      </c>
      <c r="D254" s="33" t="s">
        <v>162</v>
      </c>
      <c r="E254" s="34" t="s">
        <v>6</v>
      </c>
      <c r="F254" s="35">
        <f>(11.82+13.05+52.92+37.02+30.4+34.01+13.83+45.74)+180.03</f>
        <v>418.82000000000005</v>
      </c>
      <c r="G254" s="258" t="s">
        <v>492</v>
      </c>
      <c r="H254" s="228"/>
    </row>
    <row r="255" spans="1:9" ht="15.75" thickBot="1">
      <c r="A255" s="288"/>
      <c r="B255" s="289"/>
      <c r="C255" s="418"/>
      <c r="D255" s="418"/>
      <c r="E255" s="418"/>
      <c r="F255" s="418"/>
      <c r="G255" s="418"/>
      <c r="H255" s="228"/>
      <c r="I255" s="99"/>
    </row>
    <row r="256" spans="1:9" ht="15.75" thickBot="1">
      <c r="A256" s="290">
        <v>18</v>
      </c>
      <c r="B256" s="291"/>
      <c r="C256" s="292"/>
      <c r="D256" s="414" t="s">
        <v>164</v>
      </c>
      <c r="E256" s="415"/>
      <c r="F256" s="415"/>
      <c r="G256" s="416"/>
      <c r="H256" s="228"/>
      <c r="I256" s="99"/>
    </row>
    <row r="257" spans="1:9" ht="15">
      <c r="A257" s="160" t="s">
        <v>608</v>
      </c>
      <c r="B257" s="300"/>
      <c r="C257" s="301">
        <v>2001</v>
      </c>
      <c r="D257" s="417" t="s">
        <v>165</v>
      </c>
      <c r="E257" s="417"/>
      <c r="F257" s="417"/>
      <c r="G257" s="417"/>
      <c r="H257" s="228"/>
      <c r="I257" s="99"/>
    </row>
    <row r="258" spans="1:8" ht="36">
      <c r="A258" s="78" t="s">
        <v>609</v>
      </c>
      <c r="B258" s="226" t="s">
        <v>354</v>
      </c>
      <c r="C258" s="77">
        <v>200124</v>
      </c>
      <c r="D258" s="260" t="s">
        <v>187</v>
      </c>
      <c r="E258" s="261" t="s">
        <v>188</v>
      </c>
      <c r="F258" s="39">
        <f>40.84+12.25+43.63+18.06</f>
        <v>114.78</v>
      </c>
      <c r="G258" s="273" t="s">
        <v>498</v>
      </c>
      <c r="H258" s="228"/>
    </row>
    <row r="259" spans="1:9" ht="15">
      <c r="A259" s="102" t="s">
        <v>610</v>
      </c>
      <c r="B259" s="166"/>
      <c r="C259" s="103" t="s">
        <v>167</v>
      </c>
      <c r="D259" s="412" t="s">
        <v>168</v>
      </c>
      <c r="E259" s="412"/>
      <c r="F259" s="412"/>
      <c r="G259" s="412"/>
      <c r="H259" s="228"/>
      <c r="I259" s="99"/>
    </row>
    <row r="260" spans="1:8" ht="15">
      <c r="A260" s="84" t="s">
        <v>611</v>
      </c>
      <c r="B260" s="226" t="s">
        <v>354</v>
      </c>
      <c r="C260" s="124">
        <v>200401</v>
      </c>
      <c r="D260" s="33" t="s">
        <v>169</v>
      </c>
      <c r="E260" s="34" t="s">
        <v>6</v>
      </c>
      <c r="F260" s="35">
        <v>289.86</v>
      </c>
      <c r="G260" s="257" t="s">
        <v>499</v>
      </c>
      <c r="H260" s="228"/>
    </row>
    <row r="261" spans="1:9" ht="15.75" thickBot="1">
      <c r="A261" s="288"/>
      <c r="B261" s="289"/>
      <c r="C261" s="413"/>
      <c r="D261" s="413"/>
      <c r="E261" s="413"/>
      <c r="F261" s="413"/>
      <c r="G261" s="413"/>
      <c r="H261" s="130"/>
      <c r="I261" s="93"/>
    </row>
    <row r="262" spans="1:8" ht="15.75" thickBot="1">
      <c r="A262" s="290">
        <v>19</v>
      </c>
      <c r="B262" s="291"/>
      <c r="C262" s="292"/>
      <c r="D262" s="414" t="s">
        <v>170</v>
      </c>
      <c r="E262" s="415"/>
      <c r="F262" s="415"/>
      <c r="G262" s="416"/>
      <c r="H262" s="142"/>
    </row>
    <row r="263" spans="1:8" ht="15">
      <c r="A263" s="160" t="s">
        <v>340</v>
      </c>
      <c r="B263" s="206"/>
      <c r="C263" s="207">
        <v>2101</v>
      </c>
      <c r="D263" s="417" t="s">
        <v>171</v>
      </c>
      <c r="E263" s="417"/>
      <c r="F263" s="417"/>
      <c r="G263" s="417"/>
      <c r="H263" s="130"/>
    </row>
    <row r="264" spans="1:8" ht="15">
      <c r="A264" s="78" t="s">
        <v>341</v>
      </c>
      <c r="B264" s="226" t="s">
        <v>354</v>
      </c>
      <c r="C264" s="77">
        <v>210210</v>
      </c>
      <c r="D264" s="33" t="s">
        <v>189</v>
      </c>
      <c r="E264" s="34" t="s">
        <v>6</v>
      </c>
      <c r="F264" s="35">
        <f>((2.1+1.35)*0.4)*3</f>
        <v>4.140000000000001</v>
      </c>
      <c r="G264" s="257" t="s">
        <v>500</v>
      </c>
      <c r="H264" s="142"/>
    </row>
    <row r="265" spans="1:8" ht="15">
      <c r="A265" s="102" t="s">
        <v>612</v>
      </c>
      <c r="B265" s="166"/>
      <c r="C265" s="104">
        <v>2102</v>
      </c>
      <c r="D265" s="412" t="s">
        <v>172</v>
      </c>
      <c r="E265" s="412"/>
      <c r="F265" s="412"/>
      <c r="G265" s="412"/>
      <c r="H265" s="130"/>
    </row>
    <row r="266" spans="1:8" ht="24">
      <c r="A266" s="78" t="s">
        <v>613</v>
      </c>
      <c r="B266" s="226" t="s">
        <v>354</v>
      </c>
      <c r="C266" s="77">
        <v>210316</v>
      </c>
      <c r="D266" s="33" t="s">
        <v>173</v>
      </c>
      <c r="E266" s="34" t="s">
        <v>4</v>
      </c>
      <c r="F266" s="35">
        <v>1</v>
      </c>
      <c r="G266" s="257">
        <v>1</v>
      </c>
      <c r="H266" s="198"/>
    </row>
    <row r="267" spans="1:8" ht="15.75" thickBot="1">
      <c r="A267" s="83"/>
      <c r="B267" s="168"/>
      <c r="C267" s="383"/>
      <c r="D267" s="383"/>
      <c r="E267" s="383"/>
      <c r="F267" s="383"/>
      <c r="G267" s="383"/>
      <c r="H267" s="130"/>
    </row>
    <row r="268" spans="1:8" ht="15">
      <c r="A268" s="352" t="s">
        <v>175</v>
      </c>
      <c r="B268" s="353"/>
      <c r="C268" s="353"/>
      <c r="D268" s="353"/>
      <c r="E268" s="353"/>
      <c r="F268" s="353"/>
      <c r="G268" s="354"/>
      <c r="H268" s="130"/>
    </row>
    <row r="269" spans="1:8" ht="15">
      <c r="A269" s="355" t="s">
        <v>176</v>
      </c>
      <c r="B269" s="356"/>
      <c r="C269" s="356"/>
      <c r="D269" s="356"/>
      <c r="E269" s="356"/>
      <c r="F269" s="356"/>
      <c r="G269" s="357"/>
      <c r="H269" s="142"/>
    </row>
    <row r="270" spans="1:8" ht="15">
      <c r="A270" s="355" t="s">
        <v>177</v>
      </c>
      <c r="B270" s="356"/>
      <c r="C270" s="356"/>
      <c r="D270" s="356"/>
      <c r="E270" s="356"/>
      <c r="F270" s="356"/>
      <c r="G270" s="357"/>
      <c r="H270" s="130"/>
    </row>
    <row r="271" spans="1:8" ht="15">
      <c r="A271" s="355" t="s">
        <v>178</v>
      </c>
      <c r="B271" s="356"/>
      <c r="C271" s="356"/>
      <c r="D271" s="356"/>
      <c r="E271" s="356"/>
      <c r="F271" s="356"/>
      <c r="G271" s="357"/>
      <c r="H271" s="142"/>
    </row>
    <row r="272" spans="1:13" s="37" customFormat="1" ht="15">
      <c r="A272" s="355" t="s">
        <v>369</v>
      </c>
      <c r="B272" s="356"/>
      <c r="C272" s="356"/>
      <c r="D272" s="356"/>
      <c r="E272" s="356"/>
      <c r="F272" s="356"/>
      <c r="G272" s="357"/>
      <c r="H272" s="130"/>
      <c r="J272" s="1"/>
      <c r="K272" s="1"/>
      <c r="L272" s="1"/>
      <c r="M272" s="1"/>
    </row>
    <row r="273" spans="1:13" s="37" customFormat="1" ht="15" customHeight="1" thickBot="1">
      <c r="A273" s="358" t="s">
        <v>365</v>
      </c>
      <c r="B273" s="359"/>
      <c r="C273" s="359"/>
      <c r="D273" s="359"/>
      <c r="E273" s="359"/>
      <c r="F273" s="359"/>
      <c r="G273" s="360"/>
      <c r="H273" s="198"/>
      <c r="J273" s="1"/>
      <c r="K273" s="1"/>
      <c r="L273" s="1"/>
      <c r="M273" s="1"/>
    </row>
    <row r="274" spans="2:13" s="37" customFormat="1" ht="15">
      <c r="B274" s="94"/>
      <c r="C274" s="40"/>
      <c r="D274" s="41"/>
      <c r="E274" s="40"/>
      <c r="F274" s="42"/>
      <c r="G274" s="222"/>
      <c r="H274" s="130"/>
      <c r="J274" s="1"/>
      <c r="K274" s="1"/>
      <c r="L274" s="1"/>
      <c r="M274" s="1"/>
    </row>
    <row r="275" spans="8:9" ht="15">
      <c r="H275" s="130"/>
      <c r="I275" s="95"/>
    </row>
    <row r="276" spans="8:9" ht="15">
      <c r="H276" s="130"/>
      <c r="I276" s="95"/>
    </row>
    <row r="277" spans="8:9" ht="15">
      <c r="H277" s="130"/>
      <c r="I277" s="95"/>
    </row>
    <row r="278" spans="8:9" ht="15">
      <c r="H278" s="130"/>
      <c r="I278" s="95"/>
    </row>
    <row r="279" spans="8:9" ht="15">
      <c r="H279" s="130"/>
      <c r="I279" s="95"/>
    </row>
    <row r="280" spans="8:9" ht="15">
      <c r="H280" s="130"/>
      <c r="I280" s="95"/>
    </row>
    <row r="281" spans="8:9" ht="15">
      <c r="H281" s="130"/>
      <c r="I281" s="95"/>
    </row>
    <row r="282" spans="8:9" ht="15">
      <c r="H282" s="130"/>
      <c r="I282" s="95"/>
    </row>
    <row r="283" spans="8:9" ht="15">
      <c r="H283" s="130"/>
      <c r="I283" s="95"/>
    </row>
    <row r="284" spans="8:9" ht="15">
      <c r="H284" s="130"/>
      <c r="I284" s="95"/>
    </row>
    <row r="285" spans="8:9" ht="15">
      <c r="H285" s="130"/>
      <c r="I285" s="95"/>
    </row>
    <row r="286" spans="8:9" ht="15">
      <c r="H286" s="130"/>
      <c r="I286" s="95"/>
    </row>
    <row r="287" spans="8:9" ht="15">
      <c r="H287" s="130"/>
      <c r="I287" s="95"/>
    </row>
    <row r="288" spans="8:9" ht="15">
      <c r="H288" s="130"/>
      <c r="I288" s="95"/>
    </row>
    <row r="289" spans="8:9" ht="15">
      <c r="H289" s="130"/>
      <c r="I289" s="95"/>
    </row>
    <row r="290" spans="8:9" ht="15">
      <c r="H290" s="130"/>
      <c r="I290" s="95"/>
    </row>
    <row r="291" spans="8:9" ht="15">
      <c r="H291" s="130"/>
      <c r="I291" s="95"/>
    </row>
    <row r="292" spans="8:9" ht="96.75" customHeight="1">
      <c r="H292" s="130"/>
      <c r="I292" s="95"/>
    </row>
    <row r="293" spans="8:9" ht="15">
      <c r="H293" s="130"/>
      <c r="I293" s="95"/>
    </row>
    <row r="294" spans="8:9" ht="15">
      <c r="H294" s="130"/>
      <c r="I294" s="95"/>
    </row>
    <row r="295" spans="8:9" ht="15">
      <c r="H295" s="130"/>
      <c r="I295" s="95"/>
    </row>
    <row r="296" ht="15">
      <c r="H296" s="130"/>
    </row>
    <row r="297" ht="15">
      <c r="H297" s="130"/>
    </row>
    <row r="298" ht="15">
      <c r="H298" s="130"/>
    </row>
    <row r="299" ht="15">
      <c r="H299" s="130"/>
    </row>
    <row r="300" ht="15">
      <c r="H300" s="130"/>
    </row>
    <row r="301" ht="15">
      <c r="H301" s="130"/>
    </row>
    <row r="302" ht="15">
      <c r="H302" s="130"/>
    </row>
    <row r="303" ht="15">
      <c r="H303" s="130"/>
    </row>
    <row r="304" ht="15">
      <c r="H304" s="130"/>
    </row>
    <row r="305" ht="15">
      <c r="H305" s="130"/>
    </row>
    <row r="306" spans="2:13" s="37" customFormat="1" ht="15">
      <c r="B306" s="94"/>
      <c r="C306" s="40"/>
      <c r="D306" s="41"/>
      <c r="E306" s="40"/>
      <c r="F306" s="42"/>
      <c r="G306" s="222"/>
      <c r="H306" s="130"/>
      <c r="J306" s="1"/>
      <c r="K306" s="1"/>
      <c r="L306" s="1"/>
      <c r="M306" s="1"/>
    </row>
    <row r="307" spans="2:13" s="37" customFormat="1" ht="15">
      <c r="B307" s="94"/>
      <c r="C307" s="40"/>
      <c r="D307" s="41"/>
      <c r="E307" s="40"/>
      <c r="F307" s="42"/>
      <c r="G307" s="222"/>
      <c r="H307" s="130"/>
      <c r="J307" s="1"/>
      <c r="K307" s="1"/>
      <c r="L307" s="1"/>
      <c r="M307" s="1"/>
    </row>
  </sheetData>
  <sheetProtection/>
  <mergeCells count="101">
    <mergeCell ref="A1:G1"/>
    <mergeCell ref="A2:G3"/>
    <mergeCell ref="A4:D4"/>
    <mergeCell ref="E4:G5"/>
    <mergeCell ref="A5:D5"/>
    <mergeCell ref="C22:G22"/>
    <mergeCell ref="D9:G9"/>
    <mergeCell ref="D23:G23"/>
    <mergeCell ref="D24:G24"/>
    <mergeCell ref="D27:G27"/>
    <mergeCell ref="D30:G30"/>
    <mergeCell ref="C12:G12"/>
    <mergeCell ref="D13:G13"/>
    <mergeCell ref="D14:G14"/>
    <mergeCell ref="D17:G17"/>
    <mergeCell ref="D48:G48"/>
    <mergeCell ref="D49:G49"/>
    <mergeCell ref="D51:G51"/>
    <mergeCell ref="D53:G53"/>
    <mergeCell ref="C55:G55"/>
    <mergeCell ref="C32:G32"/>
    <mergeCell ref="D33:G33"/>
    <mergeCell ref="D34:G34"/>
    <mergeCell ref="D40:G40"/>
    <mergeCell ref="C47:G47"/>
    <mergeCell ref="D56:G56"/>
    <mergeCell ref="D57:G57"/>
    <mergeCell ref="D62:G62"/>
    <mergeCell ref="C66:G66"/>
    <mergeCell ref="D67:G67"/>
    <mergeCell ref="D70:G70"/>
    <mergeCell ref="C72:G72"/>
    <mergeCell ref="D73:G73"/>
    <mergeCell ref="D74:G74"/>
    <mergeCell ref="D78:G78"/>
    <mergeCell ref="C81:G81"/>
    <mergeCell ref="D82:G82"/>
    <mergeCell ref="D83:G83"/>
    <mergeCell ref="C85:G85"/>
    <mergeCell ref="D86:G86"/>
    <mergeCell ref="C89:G89"/>
    <mergeCell ref="D90:G90"/>
    <mergeCell ref="D91:G91"/>
    <mergeCell ref="D93:G93"/>
    <mergeCell ref="D95:G95"/>
    <mergeCell ref="C97:G97"/>
    <mergeCell ref="D98:G98"/>
    <mergeCell ref="D99:G99"/>
    <mergeCell ref="D102:G102"/>
    <mergeCell ref="D105:G105"/>
    <mergeCell ref="C107:G107"/>
    <mergeCell ref="D108:G108"/>
    <mergeCell ref="D109:G109"/>
    <mergeCell ref="D112:G112"/>
    <mergeCell ref="D115:G115"/>
    <mergeCell ref="D118:G118"/>
    <mergeCell ref="D124:G124"/>
    <mergeCell ref="D146:G146"/>
    <mergeCell ref="D150:G150"/>
    <mergeCell ref="D154:G154"/>
    <mergeCell ref="D165:G165"/>
    <mergeCell ref="D172:G172"/>
    <mergeCell ref="D178:G178"/>
    <mergeCell ref="D179:G179"/>
    <mergeCell ref="D185:G185"/>
    <mergeCell ref="D187:G187"/>
    <mergeCell ref="D194:G194"/>
    <mergeCell ref="D201:G201"/>
    <mergeCell ref="D202:G202"/>
    <mergeCell ref="D204:G204"/>
    <mergeCell ref="D207:G207"/>
    <mergeCell ref="D210:G210"/>
    <mergeCell ref="D212:G212"/>
    <mergeCell ref="D214:G214"/>
    <mergeCell ref="D222:G222"/>
    <mergeCell ref="D227:G227"/>
    <mergeCell ref="D233:G233"/>
    <mergeCell ref="D236:G236"/>
    <mergeCell ref="C238:G238"/>
    <mergeCell ref="D257:G257"/>
    <mergeCell ref="D239:G239"/>
    <mergeCell ref="D240:G240"/>
    <mergeCell ref="D245:G245"/>
    <mergeCell ref="D247:G247"/>
    <mergeCell ref="C249:G249"/>
    <mergeCell ref="A273:G273"/>
    <mergeCell ref="D250:G250"/>
    <mergeCell ref="D251:G251"/>
    <mergeCell ref="D259:G259"/>
    <mergeCell ref="C261:G261"/>
    <mergeCell ref="D262:G262"/>
    <mergeCell ref="D263:G263"/>
    <mergeCell ref="C255:G255"/>
    <mergeCell ref="D256:G256"/>
    <mergeCell ref="D265:G265"/>
    <mergeCell ref="C267:G267"/>
    <mergeCell ref="A268:G268"/>
    <mergeCell ref="A269:G269"/>
    <mergeCell ref="A270:G270"/>
    <mergeCell ref="A271:G271"/>
    <mergeCell ref="A272:G272"/>
  </mergeCells>
  <printOptions horizontalCentered="1"/>
  <pageMargins left="0.7086614173228347" right="0.7086614173228347" top="0.7480314960629921" bottom="0.9448818897637796" header="0.31496062992125984" footer="0.31496062992125984"/>
  <pageSetup fitToHeight="0" fitToWidth="1" horizontalDpi="300" verticalDpi="300" orientation="portrait" paperSize="9" scale="46" r:id="rId3"/>
  <headerFooter>
    <oddFooter>&amp;CLuan de Paula Cardoso Ferraz
Engenheiro Civil e Ambiental
CREA MG: 162412/D&amp;R&amp;P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8" zoomScaleNormal="98" zoomScalePageLayoutView="0" workbookViewId="0" topLeftCell="A1">
      <selection activeCell="P50" sqref="A1:P50"/>
    </sheetView>
  </sheetViews>
  <sheetFormatPr defaultColWidth="9.140625" defaultRowHeight="15"/>
  <cols>
    <col min="1" max="1" width="12.57421875" style="0" customWidth="1"/>
    <col min="2" max="2" width="23.8515625" style="0" customWidth="1"/>
    <col min="3" max="3" width="14.140625" style="0" customWidth="1"/>
    <col min="6" max="6" width="12.140625" style="0" customWidth="1"/>
    <col min="7" max="7" width="12.421875" style="0" customWidth="1"/>
    <col min="8" max="8" width="11.8515625" style="0" customWidth="1"/>
    <col min="9" max="10" width="12.8515625" style="0" customWidth="1"/>
    <col min="11" max="11" width="11.7109375" style="0" customWidth="1"/>
    <col min="12" max="12" width="12.00390625" style="0" customWidth="1"/>
    <col min="13" max="13" width="12.28125" style="0" customWidth="1"/>
    <col min="14" max="14" width="11.28125" style="0" customWidth="1"/>
    <col min="15" max="15" width="11.57421875" style="0" customWidth="1"/>
    <col min="16" max="16" width="12.00390625" style="0" customWidth="1"/>
    <col min="18" max="18" width="13.28125" style="0" customWidth="1"/>
  </cols>
  <sheetData>
    <row r="1" spans="1:16" ht="78" customHeight="1" thickBot="1">
      <c r="A1" s="452" t="s">
        <v>193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4"/>
    </row>
    <row r="2" spans="1:16" ht="30" customHeight="1" thickBot="1">
      <c r="A2" s="455" t="s">
        <v>625</v>
      </c>
      <c r="B2" s="456"/>
      <c r="C2" s="456"/>
      <c r="D2" s="457"/>
      <c r="E2" s="458" t="s">
        <v>231</v>
      </c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60"/>
    </row>
    <row r="3" spans="1:16" ht="18.75" customHeight="1" thickBot="1">
      <c r="A3" s="467" t="s">
        <v>626</v>
      </c>
      <c r="B3" s="468"/>
      <c r="C3" s="468"/>
      <c r="D3" s="469"/>
      <c r="E3" s="461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3"/>
    </row>
    <row r="4" spans="1:16" ht="21" customHeight="1" thickBot="1">
      <c r="A4" s="470" t="s">
        <v>624</v>
      </c>
      <c r="B4" s="471"/>
      <c r="C4" s="471"/>
      <c r="D4" s="472"/>
      <c r="E4" s="464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6"/>
    </row>
    <row r="5" spans="1:16" ht="15">
      <c r="A5" s="473" t="s">
        <v>194</v>
      </c>
      <c r="B5" s="473" t="s">
        <v>195</v>
      </c>
      <c r="C5" s="45" t="s">
        <v>196</v>
      </c>
      <c r="D5" s="46"/>
      <c r="E5" s="477" t="s">
        <v>197</v>
      </c>
      <c r="F5" s="438" t="s">
        <v>198</v>
      </c>
      <c r="G5" s="438" t="s">
        <v>199</v>
      </c>
      <c r="H5" s="438" t="s">
        <v>200</v>
      </c>
      <c r="I5" s="438" t="s">
        <v>201</v>
      </c>
      <c r="J5" s="438" t="s">
        <v>202</v>
      </c>
      <c r="K5" s="438" t="s">
        <v>203</v>
      </c>
      <c r="L5" s="440" t="s">
        <v>204</v>
      </c>
      <c r="M5" s="450" t="s">
        <v>232</v>
      </c>
      <c r="N5" s="446" t="s">
        <v>233</v>
      </c>
      <c r="O5" s="448" t="s">
        <v>234</v>
      </c>
      <c r="P5" s="475" t="s">
        <v>235</v>
      </c>
    </row>
    <row r="6" spans="1:16" ht="15.75" thickBot="1">
      <c r="A6" s="474"/>
      <c r="B6" s="474"/>
      <c r="C6" s="47" t="s">
        <v>205</v>
      </c>
      <c r="D6" s="48" t="s">
        <v>206</v>
      </c>
      <c r="E6" s="478"/>
      <c r="F6" s="439"/>
      <c r="G6" s="439"/>
      <c r="H6" s="439"/>
      <c r="I6" s="439"/>
      <c r="J6" s="439"/>
      <c r="K6" s="439"/>
      <c r="L6" s="441"/>
      <c r="M6" s="451"/>
      <c r="N6" s="447"/>
      <c r="O6" s="449"/>
      <c r="P6" s="476"/>
    </row>
    <row r="7" spans="1:18" ht="15">
      <c r="A7" s="479" t="s">
        <v>207</v>
      </c>
      <c r="B7" s="480" t="s">
        <v>3</v>
      </c>
      <c r="C7" s="49">
        <f>'PLANILHA ORÇ.'!J12</f>
        <v>5881.26</v>
      </c>
      <c r="D7" s="50">
        <f>C7/C45</f>
        <v>0.008417840834263042</v>
      </c>
      <c r="E7" s="51">
        <f>C7*E8</f>
        <v>4705.008000000001</v>
      </c>
      <c r="F7" s="51">
        <f>C7*F8</f>
        <v>1176.2520000000002</v>
      </c>
      <c r="G7" s="51"/>
      <c r="H7" s="51"/>
      <c r="I7" s="51"/>
      <c r="J7" s="51"/>
      <c r="K7" s="51"/>
      <c r="L7" s="52"/>
      <c r="M7" s="51"/>
      <c r="N7" s="53"/>
      <c r="O7" s="54"/>
      <c r="P7" s="55"/>
      <c r="R7" s="73">
        <f>SUM(E7:F7)</f>
        <v>5881.260000000001</v>
      </c>
    </row>
    <row r="8" spans="1:18" ht="15.75" thickBot="1">
      <c r="A8" s="443"/>
      <c r="B8" s="481"/>
      <c r="C8" s="9"/>
      <c r="D8" s="10"/>
      <c r="E8" s="11">
        <v>0.8</v>
      </c>
      <c r="F8" s="11">
        <v>0.2</v>
      </c>
      <c r="G8" s="11"/>
      <c r="H8" s="11"/>
      <c r="I8" s="11"/>
      <c r="J8" s="11"/>
      <c r="K8" s="11"/>
      <c r="L8" s="56"/>
      <c r="M8" s="11"/>
      <c r="N8" s="57"/>
      <c r="O8" s="2"/>
      <c r="P8" s="58"/>
      <c r="R8" s="74"/>
    </row>
    <row r="9" spans="1:18" ht="15">
      <c r="A9" s="442" t="s">
        <v>208</v>
      </c>
      <c r="B9" s="444" t="s">
        <v>9</v>
      </c>
      <c r="C9" s="49">
        <f>'PLANILHA ORÇ.'!J23</f>
        <v>25219.54</v>
      </c>
      <c r="D9" s="14">
        <f>C9/C45</f>
        <v>0.036096699284393165</v>
      </c>
      <c r="E9" s="7">
        <f>$C9*E10</f>
        <v>25219.54</v>
      </c>
      <c r="F9" s="7"/>
      <c r="G9" s="7"/>
      <c r="H9" s="7"/>
      <c r="I9" s="7"/>
      <c r="J9" s="7"/>
      <c r="K9" s="7"/>
      <c r="L9" s="59"/>
      <c r="M9" s="7"/>
      <c r="N9" s="60"/>
      <c r="O9" s="2"/>
      <c r="P9" s="58"/>
      <c r="R9" s="74"/>
    </row>
    <row r="10" spans="1:18" ht="15">
      <c r="A10" s="443"/>
      <c r="B10" s="445"/>
      <c r="C10" s="9"/>
      <c r="D10" s="10"/>
      <c r="E10" s="11">
        <v>1</v>
      </c>
      <c r="F10" s="11"/>
      <c r="G10" s="11"/>
      <c r="H10" s="11"/>
      <c r="I10" s="11"/>
      <c r="J10" s="11"/>
      <c r="K10" s="11"/>
      <c r="L10" s="56"/>
      <c r="M10" s="11"/>
      <c r="N10" s="57"/>
      <c r="O10" s="2"/>
      <c r="P10" s="58"/>
      <c r="R10" s="74"/>
    </row>
    <row r="11" spans="1:18" ht="15">
      <c r="A11" s="442" t="s">
        <v>209</v>
      </c>
      <c r="B11" s="444" t="s">
        <v>17</v>
      </c>
      <c r="C11" s="13">
        <f>'PLANILHA ORÇ.'!J34</f>
        <v>10161.45</v>
      </c>
      <c r="D11" s="14">
        <f>C11/C45</f>
        <v>0.014544071975277779</v>
      </c>
      <c r="E11" s="7">
        <f>$C11*E12</f>
        <v>2032.2900000000002</v>
      </c>
      <c r="F11" s="7">
        <f>$C11*F12</f>
        <v>2032.2900000000002</v>
      </c>
      <c r="G11" s="7">
        <f>$C11*G12</f>
        <v>2032.2900000000002</v>
      </c>
      <c r="H11" s="7">
        <f>$C11*H12</f>
        <v>2032.2900000000002</v>
      </c>
      <c r="I11" s="7"/>
      <c r="J11" s="7"/>
      <c r="K11" s="7">
        <f>$C11*K12</f>
        <v>1016.1450000000001</v>
      </c>
      <c r="L11" s="59">
        <f>$C11*L12</f>
        <v>1016.1450000000001</v>
      </c>
      <c r="M11" s="7"/>
      <c r="N11" s="60"/>
      <c r="O11" s="2"/>
      <c r="P11" s="58"/>
      <c r="R11" s="73">
        <f>SUM(E11:P11)</f>
        <v>10161.45</v>
      </c>
    </row>
    <row r="12" spans="1:18" ht="15">
      <c r="A12" s="443"/>
      <c r="B12" s="445"/>
      <c r="C12" s="9"/>
      <c r="D12" s="10"/>
      <c r="E12" s="11">
        <v>0.2</v>
      </c>
      <c r="F12" s="11">
        <v>0.2</v>
      </c>
      <c r="G12" s="11">
        <v>0.2</v>
      </c>
      <c r="H12" s="11">
        <v>0.2</v>
      </c>
      <c r="I12" s="11"/>
      <c r="J12" s="11"/>
      <c r="K12" s="11">
        <v>0.1</v>
      </c>
      <c r="L12" s="56">
        <v>0.1</v>
      </c>
      <c r="M12" s="11"/>
      <c r="N12" s="57"/>
      <c r="O12" s="2"/>
      <c r="P12" s="58"/>
      <c r="R12" s="74"/>
    </row>
    <row r="13" spans="1:18" ht="15">
      <c r="A13" s="442" t="s">
        <v>210</v>
      </c>
      <c r="B13" s="444" t="s">
        <v>31</v>
      </c>
      <c r="C13" s="13">
        <f>'PLANILHA ORÇ.'!J50</f>
        <v>161695.38999999998</v>
      </c>
      <c r="D13" s="14">
        <f>C13/C45</f>
        <v>0.23143443014831647</v>
      </c>
      <c r="E13" s="7"/>
      <c r="F13" s="7">
        <f>$C13*F14</f>
        <v>48508.61699999999</v>
      </c>
      <c r="G13" s="7">
        <f>$C13*G14</f>
        <v>48508.61699999999</v>
      </c>
      <c r="H13" s="7">
        <f>$C13*H14</f>
        <v>32339.077999999998</v>
      </c>
      <c r="I13" s="7">
        <f>$C13*I14</f>
        <v>32339.077999999998</v>
      </c>
      <c r="J13" s="7"/>
      <c r="K13" s="7"/>
      <c r="L13" s="59"/>
      <c r="M13" s="7"/>
      <c r="N13" s="60"/>
      <c r="O13" s="2"/>
      <c r="P13" s="58"/>
      <c r="R13" s="73">
        <f>SUM(F13:J13)</f>
        <v>161695.38999999998</v>
      </c>
    </row>
    <row r="14" spans="1:18" ht="15">
      <c r="A14" s="443"/>
      <c r="B14" s="445"/>
      <c r="C14" s="9"/>
      <c r="D14" s="10"/>
      <c r="E14" s="11"/>
      <c r="F14" s="11">
        <v>0.3</v>
      </c>
      <c r="G14" s="11">
        <v>0.3</v>
      </c>
      <c r="H14" s="11">
        <v>0.2</v>
      </c>
      <c r="I14" s="11">
        <v>0.2</v>
      </c>
      <c r="J14" s="11"/>
      <c r="K14" s="11"/>
      <c r="L14" s="56"/>
      <c r="M14" s="11"/>
      <c r="N14" s="57"/>
      <c r="O14" s="2"/>
      <c r="P14" s="58"/>
      <c r="R14" s="74"/>
    </row>
    <row r="15" spans="1:18" ht="15">
      <c r="A15" s="442" t="s">
        <v>211</v>
      </c>
      <c r="B15" s="444" t="s">
        <v>38</v>
      </c>
      <c r="C15" s="13">
        <f>'PLANILHA ORÇ.'!J59</f>
        <v>36501.700000000004</v>
      </c>
      <c r="D15" s="14">
        <f>C15/C45</f>
        <v>0.05224484222428855</v>
      </c>
      <c r="E15" s="15"/>
      <c r="F15" s="7">
        <f aca="true" t="shared" si="0" ref="F15:K15">$C15*F16</f>
        <v>7300.340000000001</v>
      </c>
      <c r="G15" s="7">
        <f t="shared" si="0"/>
        <v>10950.51</v>
      </c>
      <c r="H15" s="7">
        <f t="shared" si="0"/>
        <v>7300.340000000001</v>
      </c>
      <c r="I15" s="7">
        <f t="shared" si="0"/>
        <v>3650.1700000000005</v>
      </c>
      <c r="J15" s="7">
        <f t="shared" si="0"/>
        <v>3650.1700000000005</v>
      </c>
      <c r="K15" s="7">
        <f t="shared" si="0"/>
        <v>3650.1700000000005</v>
      </c>
      <c r="L15" s="59"/>
      <c r="M15" s="7"/>
      <c r="N15" s="60"/>
      <c r="O15" s="2"/>
      <c r="P15" s="58"/>
      <c r="R15" s="73">
        <f>SUM(F15:K15)</f>
        <v>36501.700000000004</v>
      </c>
    </row>
    <row r="16" spans="1:18" ht="15">
      <c r="A16" s="443"/>
      <c r="B16" s="445"/>
      <c r="C16" s="9"/>
      <c r="D16" s="10"/>
      <c r="E16" s="16"/>
      <c r="F16" s="11">
        <v>0.2</v>
      </c>
      <c r="G16" s="11">
        <v>0.3</v>
      </c>
      <c r="H16" s="11">
        <v>0.2</v>
      </c>
      <c r="I16" s="11">
        <v>0.1</v>
      </c>
      <c r="J16" s="11">
        <v>0.1</v>
      </c>
      <c r="K16" s="11">
        <v>0.1</v>
      </c>
      <c r="L16" s="56"/>
      <c r="M16" s="11"/>
      <c r="N16" s="57"/>
      <c r="O16" s="2"/>
      <c r="P16" s="58"/>
      <c r="R16" s="74"/>
    </row>
    <row r="17" spans="1:18" ht="15">
      <c r="A17" s="442" t="s">
        <v>212</v>
      </c>
      <c r="B17" s="444" t="s">
        <v>49</v>
      </c>
      <c r="C17" s="13">
        <f>'PLANILHA ORÇ.'!J71</f>
        <v>46929.29</v>
      </c>
      <c r="D17" s="14">
        <f>C17/C45</f>
        <v>0.06716984008273265</v>
      </c>
      <c r="E17" s="7"/>
      <c r="F17" s="7"/>
      <c r="G17" s="7"/>
      <c r="H17" s="7"/>
      <c r="I17" s="7">
        <f>$C17*I18</f>
        <v>7039.3935</v>
      </c>
      <c r="J17" s="7">
        <f>$C17*J18</f>
        <v>11732.3225</v>
      </c>
      <c r="K17" s="7">
        <f>$C17*K18</f>
        <v>14078.787</v>
      </c>
      <c r="L17" s="59">
        <f>$C17*L18</f>
        <v>14078.787</v>
      </c>
      <c r="M17" s="7"/>
      <c r="N17" s="60"/>
      <c r="O17" s="2"/>
      <c r="P17" s="58"/>
      <c r="R17" s="73">
        <f>SUM(I17:L17)</f>
        <v>46929.28999999999</v>
      </c>
    </row>
    <row r="18" spans="1:18" ht="15">
      <c r="A18" s="443"/>
      <c r="B18" s="445"/>
      <c r="C18" s="9"/>
      <c r="D18" s="10"/>
      <c r="E18" s="11"/>
      <c r="F18" s="7"/>
      <c r="G18" s="11"/>
      <c r="H18" s="11"/>
      <c r="I18" s="11">
        <v>0.15</v>
      </c>
      <c r="J18" s="11">
        <v>0.25</v>
      </c>
      <c r="K18" s="11">
        <v>0.3</v>
      </c>
      <c r="L18" s="56">
        <v>0.3</v>
      </c>
      <c r="M18" s="11"/>
      <c r="N18" s="57"/>
      <c r="O18" s="2"/>
      <c r="P18" s="58"/>
      <c r="R18" s="74"/>
    </row>
    <row r="19" spans="1:18" ht="15">
      <c r="A19" s="442" t="s">
        <v>213</v>
      </c>
      <c r="B19" s="444" t="s">
        <v>214</v>
      </c>
      <c r="C19" s="13">
        <f>'PLANILHA ORÇ.'!J78</f>
        <v>4736.1900000000005</v>
      </c>
      <c r="D19" s="14">
        <f>C19/C45</f>
        <v>0.0067789034289979155</v>
      </c>
      <c r="E19" s="15"/>
      <c r="F19" s="11"/>
      <c r="G19" s="7"/>
      <c r="H19" s="7">
        <f>$C19*H20</f>
        <v>1184.0475000000001</v>
      </c>
      <c r="I19" s="7">
        <f>$C19*I20</f>
        <v>1420.8570000000002</v>
      </c>
      <c r="J19" s="7">
        <f>$C19*J20</f>
        <v>1184.0475000000001</v>
      </c>
      <c r="K19" s="7">
        <f>$C19*K20</f>
        <v>473.6190000000001</v>
      </c>
      <c r="L19" s="59">
        <f>$C19*L20</f>
        <v>473.6190000000001</v>
      </c>
      <c r="M19" s="7"/>
      <c r="N19" s="60"/>
      <c r="O19" s="2"/>
      <c r="P19" s="58"/>
      <c r="R19" s="73">
        <f>SUM(H19:L19)</f>
        <v>4736.1900000000005</v>
      </c>
    </row>
    <row r="20" spans="1:18" ht="15">
      <c r="A20" s="443"/>
      <c r="B20" s="445"/>
      <c r="C20" s="9"/>
      <c r="D20" s="10"/>
      <c r="E20" s="16"/>
      <c r="F20" s="11"/>
      <c r="G20" s="11"/>
      <c r="H20" s="11">
        <v>0.25</v>
      </c>
      <c r="I20" s="11">
        <v>0.3</v>
      </c>
      <c r="J20" s="11">
        <v>0.25</v>
      </c>
      <c r="K20" s="11">
        <v>0.1</v>
      </c>
      <c r="L20" s="56">
        <v>0.1</v>
      </c>
      <c r="M20" s="11"/>
      <c r="N20" s="57"/>
      <c r="O20" s="2"/>
      <c r="P20" s="58"/>
      <c r="R20" s="74"/>
    </row>
    <row r="21" spans="1:18" ht="15">
      <c r="A21" s="442" t="s">
        <v>55</v>
      </c>
      <c r="B21" s="444" t="s">
        <v>58</v>
      </c>
      <c r="C21" s="13">
        <f>'PLANILHA ORÇ.'!J88</f>
        <v>67658.95</v>
      </c>
      <c r="D21" s="14">
        <f>C21/C45</f>
        <v>0.09684017916456021</v>
      </c>
      <c r="E21" s="15"/>
      <c r="F21" s="15"/>
      <c r="G21" s="7"/>
      <c r="H21" s="7"/>
      <c r="I21" s="7">
        <f>$C21*I22</f>
        <v>20297.684999999998</v>
      </c>
      <c r="J21" s="7">
        <f>$C21*J22</f>
        <v>27063.58</v>
      </c>
      <c r="K21" s="7">
        <f>$C21*K22</f>
        <v>10148.842499999999</v>
      </c>
      <c r="L21" s="59">
        <f>$C21*L22</f>
        <v>10148.842499999999</v>
      </c>
      <c r="M21" s="7"/>
      <c r="N21" s="60"/>
      <c r="O21" s="2"/>
      <c r="P21" s="58"/>
      <c r="R21" s="73">
        <f>SUM(I21:L21)</f>
        <v>67658.95</v>
      </c>
    </row>
    <row r="22" spans="1:18" ht="15">
      <c r="A22" s="443"/>
      <c r="B22" s="445"/>
      <c r="C22" s="9"/>
      <c r="D22" s="10"/>
      <c r="E22" s="16"/>
      <c r="F22" s="16"/>
      <c r="G22" s="11"/>
      <c r="H22" s="11"/>
      <c r="I22" s="11">
        <v>0.3</v>
      </c>
      <c r="J22" s="11">
        <v>0.4</v>
      </c>
      <c r="K22" s="11">
        <v>0.15</v>
      </c>
      <c r="L22" s="56">
        <v>0.15</v>
      </c>
      <c r="M22" s="11"/>
      <c r="N22" s="57"/>
      <c r="O22" s="2"/>
      <c r="P22" s="58"/>
      <c r="R22" s="74"/>
    </row>
    <row r="23" spans="1:18" ht="15">
      <c r="A23" s="442" t="s">
        <v>215</v>
      </c>
      <c r="B23" s="444" t="s">
        <v>64</v>
      </c>
      <c r="C23" s="13">
        <f>'PLANILHA ORÇ.'!J93</f>
        <v>5104.4</v>
      </c>
      <c r="D23" s="14">
        <f>C23/C45</f>
        <v>0.0073059219885555585</v>
      </c>
      <c r="F23" s="15"/>
      <c r="G23" s="15">
        <f>C23*G24</f>
        <v>5104.4</v>
      </c>
      <c r="H23" s="7"/>
      <c r="I23" s="7"/>
      <c r="J23" s="7"/>
      <c r="K23" s="7"/>
      <c r="L23" s="59"/>
      <c r="M23" s="325"/>
      <c r="N23" s="60"/>
      <c r="O23" s="2"/>
      <c r="P23" s="58"/>
      <c r="R23" s="73">
        <f>SUM(G23:N23)</f>
        <v>5104.4</v>
      </c>
    </row>
    <row r="24" spans="1:18" ht="15">
      <c r="A24" s="443"/>
      <c r="B24" s="445"/>
      <c r="C24" s="9"/>
      <c r="D24" s="10"/>
      <c r="F24" s="16"/>
      <c r="G24" s="16">
        <v>1</v>
      </c>
      <c r="H24" s="11"/>
      <c r="I24" s="11"/>
      <c r="J24" s="11"/>
      <c r="K24" s="11"/>
      <c r="L24" s="56"/>
      <c r="M24" s="11"/>
      <c r="N24" s="57"/>
      <c r="O24" s="2"/>
      <c r="P24" s="58"/>
      <c r="R24" s="74"/>
    </row>
    <row r="25" spans="1:18" ht="15">
      <c r="A25" s="442" t="s">
        <v>216</v>
      </c>
      <c r="B25" s="444" t="s">
        <v>69</v>
      </c>
      <c r="C25" s="13">
        <f>'PLANILHA ORÇ.'!J98</f>
        <v>8255.58</v>
      </c>
      <c r="D25" s="14">
        <f>C25/C45</f>
        <v>0.011816202384272296</v>
      </c>
      <c r="E25" s="15"/>
      <c r="F25" s="15"/>
      <c r="G25" s="7"/>
      <c r="H25" s="7"/>
      <c r="I25" s="7">
        <f>$C25*I26</f>
        <v>2476.674</v>
      </c>
      <c r="J25" s="7">
        <f>$C25*J26</f>
        <v>2476.674</v>
      </c>
      <c r="K25" s="7">
        <f>$C25*K26</f>
        <v>2476.674</v>
      </c>
      <c r="L25" s="59">
        <f>$C25*L26</f>
        <v>825.558</v>
      </c>
      <c r="M25" s="7"/>
      <c r="N25" s="60"/>
      <c r="O25" s="2"/>
      <c r="P25" s="58"/>
      <c r="R25" s="73">
        <f>SUM(I25:L25)</f>
        <v>8255.58</v>
      </c>
    </row>
    <row r="26" spans="1:18" ht="15">
      <c r="A26" s="443"/>
      <c r="B26" s="445"/>
      <c r="C26" s="9"/>
      <c r="D26" s="10"/>
      <c r="E26" s="16"/>
      <c r="F26" s="16"/>
      <c r="G26" s="11"/>
      <c r="H26" s="11"/>
      <c r="I26" s="11">
        <v>0.3</v>
      </c>
      <c r="J26" s="11">
        <v>0.3</v>
      </c>
      <c r="K26" s="11">
        <v>0.3</v>
      </c>
      <c r="L26" s="56">
        <v>0.1</v>
      </c>
      <c r="M26" s="11"/>
      <c r="N26" s="57"/>
      <c r="O26" s="2"/>
      <c r="P26" s="58"/>
      <c r="R26" s="74"/>
    </row>
    <row r="27" spans="1:18" ht="15">
      <c r="A27" s="442" t="s">
        <v>217</v>
      </c>
      <c r="B27" s="444" t="s">
        <v>74</v>
      </c>
      <c r="C27" s="13">
        <f>'PLANILHA ORÇ.'!J107</f>
        <v>55390.97</v>
      </c>
      <c r="D27" s="14">
        <f>C27/C45</f>
        <v>0.07928103316558681</v>
      </c>
      <c r="E27" s="15"/>
      <c r="F27" s="7">
        <f aca="true" t="shared" si="1" ref="F27:L27">$C27*F28</f>
        <v>11078.194000000001</v>
      </c>
      <c r="G27" s="7">
        <f t="shared" si="1"/>
        <v>11078.194000000001</v>
      </c>
      <c r="H27" s="7">
        <f t="shared" si="1"/>
        <v>5539.097000000001</v>
      </c>
      <c r="I27" s="7">
        <f t="shared" si="1"/>
        <v>5539.097000000001</v>
      </c>
      <c r="J27" s="7">
        <f t="shared" si="1"/>
        <v>8308.6455</v>
      </c>
      <c r="K27" s="7">
        <f t="shared" si="1"/>
        <v>8308.6455</v>
      </c>
      <c r="L27" s="59">
        <f t="shared" si="1"/>
        <v>5539.097000000001</v>
      </c>
      <c r="M27" s="7"/>
      <c r="N27" s="60"/>
      <c r="O27" s="2"/>
      <c r="P27" s="58"/>
      <c r="R27" s="73">
        <f>SUM(F27:L27)</f>
        <v>55390.97</v>
      </c>
    </row>
    <row r="28" spans="1:18" ht="15">
      <c r="A28" s="443"/>
      <c r="B28" s="445"/>
      <c r="C28" s="9"/>
      <c r="D28" s="10"/>
      <c r="E28" s="16"/>
      <c r="F28" s="11">
        <v>0.2</v>
      </c>
      <c r="G28" s="11">
        <v>0.2</v>
      </c>
      <c r="H28" s="11">
        <v>0.1</v>
      </c>
      <c r="I28" s="11">
        <v>0.1</v>
      </c>
      <c r="J28" s="11">
        <v>0.15</v>
      </c>
      <c r="K28" s="11">
        <v>0.15</v>
      </c>
      <c r="L28" s="56">
        <v>0.1</v>
      </c>
      <c r="M28" s="11"/>
      <c r="N28" s="57"/>
      <c r="O28" s="2"/>
      <c r="P28" s="58"/>
      <c r="R28" s="74"/>
    </row>
    <row r="29" spans="1:18" ht="15">
      <c r="A29" s="442" t="s">
        <v>218</v>
      </c>
      <c r="B29" s="444" t="s">
        <v>84</v>
      </c>
      <c r="C29" s="13">
        <f>'PLANILHA ORÇ.'!J118</f>
        <v>64876.15349999999</v>
      </c>
      <c r="D29" s="14">
        <f>C29/C45</f>
        <v>0.0928571656587563</v>
      </c>
      <c r="E29" s="15"/>
      <c r="F29" s="15"/>
      <c r="G29" s="7"/>
      <c r="H29" s="7"/>
      <c r="I29" s="7"/>
      <c r="J29" s="7"/>
      <c r="K29" s="7">
        <f>$C29*K30</f>
        <v>25950.4614</v>
      </c>
      <c r="L29" s="59">
        <f>$C29*L30</f>
        <v>19462.846049999996</v>
      </c>
      <c r="M29" s="325">
        <f>$C29*M30</f>
        <v>19462.846049999996</v>
      </c>
      <c r="N29" s="60"/>
      <c r="O29" s="2"/>
      <c r="P29" s="58"/>
      <c r="R29" s="73">
        <f>SUM(K29:M29)</f>
        <v>64876.153499999986</v>
      </c>
    </row>
    <row r="30" spans="1:18" ht="15">
      <c r="A30" s="443"/>
      <c r="B30" s="445"/>
      <c r="C30" s="9"/>
      <c r="D30" s="10"/>
      <c r="E30" s="16"/>
      <c r="F30" s="16"/>
      <c r="G30" s="11"/>
      <c r="H30" s="11"/>
      <c r="I30" s="11"/>
      <c r="J30" s="11"/>
      <c r="K30" s="11">
        <v>0.4</v>
      </c>
      <c r="L30" s="56">
        <v>0.3</v>
      </c>
      <c r="M30" s="11">
        <v>0.3</v>
      </c>
      <c r="N30" s="57"/>
      <c r="O30" s="2"/>
      <c r="P30" s="58"/>
      <c r="R30" s="74"/>
    </row>
    <row r="31" spans="1:18" ht="15">
      <c r="A31" s="442" t="s">
        <v>219</v>
      </c>
      <c r="B31" s="444" t="s">
        <v>92</v>
      </c>
      <c r="C31" s="13">
        <f>'PLANILHA ORÇ.'!J189</f>
        <v>28552.433399999998</v>
      </c>
      <c r="D31" s="14">
        <f>C31/C45</f>
        <v>0.040867065865494115</v>
      </c>
      <c r="E31" s="15"/>
      <c r="F31" s="7">
        <f>$C31*F32</f>
        <v>2855.24334</v>
      </c>
      <c r="G31" s="7">
        <f>$C31*G32</f>
        <v>2855.24334</v>
      </c>
      <c r="H31" s="7">
        <f>$C31*H32</f>
        <v>5710.48668</v>
      </c>
      <c r="I31" s="7"/>
      <c r="J31" s="7">
        <f>$C31*J32</f>
        <v>5710.48668</v>
      </c>
      <c r="K31" s="7">
        <f>$C31*K32</f>
        <v>5710.48668</v>
      </c>
      <c r="L31" s="59">
        <f>$C31*L32</f>
        <v>5710.48668</v>
      </c>
      <c r="M31" s="7"/>
      <c r="N31" s="60"/>
      <c r="O31" s="2"/>
      <c r="P31" s="58"/>
      <c r="R31" s="73">
        <f>SUM(F31:L31)</f>
        <v>28552.4334</v>
      </c>
    </row>
    <row r="32" spans="1:18" ht="15">
      <c r="A32" s="443"/>
      <c r="B32" s="445"/>
      <c r="C32" s="9"/>
      <c r="D32" s="10"/>
      <c r="E32" s="16"/>
      <c r="F32" s="11">
        <v>0.1</v>
      </c>
      <c r="G32" s="11">
        <v>0.1</v>
      </c>
      <c r="H32" s="11">
        <v>0.2</v>
      </c>
      <c r="I32" s="11"/>
      <c r="J32" s="11">
        <v>0.2</v>
      </c>
      <c r="K32" s="11">
        <v>0.2</v>
      </c>
      <c r="L32" s="56">
        <v>0.2</v>
      </c>
      <c r="M32" s="11"/>
      <c r="N32" s="57"/>
      <c r="O32" s="2"/>
      <c r="P32" s="58"/>
      <c r="R32" s="74"/>
    </row>
    <row r="33" spans="1:18" ht="15">
      <c r="A33" s="442" t="s">
        <v>220</v>
      </c>
      <c r="B33" s="444" t="s">
        <v>134</v>
      </c>
      <c r="C33" s="13">
        <f>'PLANILHA ORÇ.'!J213</f>
        <v>18512.870000000003</v>
      </c>
      <c r="D33" s="14">
        <f>C33/C45</f>
        <v>0.026497450043936718</v>
      </c>
      <c r="E33" s="15"/>
      <c r="F33" s="7">
        <f>$C33*F34</f>
        <v>2776.9305000000004</v>
      </c>
      <c r="G33" s="7"/>
      <c r="H33" s="7"/>
      <c r="I33" s="7">
        <f>$C33*I34</f>
        <v>5553.861000000001</v>
      </c>
      <c r="J33" s="7">
        <f>$C33*J34</f>
        <v>3702.5740000000005</v>
      </c>
      <c r="K33" s="7">
        <f>$C33*K34</f>
        <v>3702.5740000000005</v>
      </c>
      <c r="L33" s="59">
        <f>$C33*L34</f>
        <v>2776.9305000000004</v>
      </c>
      <c r="M33" s="7"/>
      <c r="N33" s="60"/>
      <c r="O33" s="2"/>
      <c r="P33" s="58"/>
      <c r="R33" s="73">
        <f>SUM(F33:L33)</f>
        <v>18512.870000000003</v>
      </c>
    </row>
    <row r="34" spans="1:18" ht="15">
      <c r="A34" s="443"/>
      <c r="B34" s="445"/>
      <c r="C34" s="9"/>
      <c r="D34" s="10"/>
      <c r="E34" s="16"/>
      <c r="F34" s="11">
        <v>0.15</v>
      </c>
      <c r="G34" s="11"/>
      <c r="H34" s="11"/>
      <c r="I34" s="11">
        <v>0.3</v>
      </c>
      <c r="J34" s="11">
        <v>0.2</v>
      </c>
      <c r="K34" s="11">
        <v>0.2</v>
      </c>
      <c r="L34" s="56">
        <v>0.15</v>
      </c>
      <c r="M34" s="11"/>
      <c r="N34" s="57"/>
      <c r="O34" s="2"/>
      <c r="P34" s="58"/>
      <c r="R34" s="74"/>
    </row>
    <row r="35" spans="1:18" ht="15">
      <c r="A35" s="442" t="s">
        <v>221</v>
      </c>
      <c r="B35" s="482" t="s">
        <v>111</v>
      </c>
      <c r="C35" s="5">
        <f>'PLANILHA ORÇ.'!J252</f>
        <v>38685.65999999999</v>
      </c>
      <c r="D35" s="6">
        <f>C35/C45</f>
        <v>0.05537074172004235</v>
      </c>
      <c r="E35" s="15"/>
      <c r="F35" s="7"/>
      <c r="G35" s="7">
        <f>$C35*G36</f>
        <v>7737.131999999998</v>
      </c>
      <c r="H35" s="7"/>
      <c r="I35" s="7">
        <f>$C35*I36</f>
        <v>7737.131999999998</v>
      </c>
      <c r="J35" s="7">
        <f>$C35*J36</f>
        <v>7737.131999999998</v>
      </c>
      <c r="K35" s="7">
        <f>$C35*K36</f>
        <v>7737.131999999998</v>
      </c>
      <c r="L35" s="59">
        <f>$C35*L36</f>
        <v>7737.131999999998</v>
      </c>
      <c r="M35" s="7"/>
      <c r="N35" s="60"/>
      <c r="O35" s="2"/>
      <c r="P35" s="58"/>
      <c r="R35" s="73">
        <f>SUM(G35:L35)</f>
        <v>38685.65999999999</v>
      </c>
    </row>
    <row r="36" spans="1:18" ht="15">
      <c r="A36" s="443"/>
      <c r="B36" s="445"/>
      <c r="C36" s="9"/>
      <c r="D36" s="10"/>
      <c r="E36" s="16"/>
      <c r="F36" s="11"/>
      <c r="G36" s="11">
        <v>0.2</v>
      </c>
      <c r="H36" s="11"/>
      <c r="I36" s="11">
        <v>0.2</v>
      </c>
      <c r="J36" s="11">
        <v>0.2</v>
      </c>
      <c r="K36" s="11">
        <v>0.2</v>
      </c>
      <c r="L36" s="56">
        <v>0.2</v>
      </c>
      <c r="M36" s="11"/>
      <c r="N36" s="57"/>
      <c r="O36" s="2"/>
      <c r="P36" s="58"/>
      <c r="R36" s="74"/>
    </row>
    <row r="37" spans="1:18" ht="15">
      <c r="A37" s="442" t="s">
        <v>222</v>
      </c>
      <c r="B37" s="482" t="s">
        <v>126</v>
      </c>
      <c r="C37" s="13">
        <f>'PLANILHA ORÇ.'!J264</f>
        <v>3411.4300000000003</v>
      </c>
      <c r="D37" s="14">
        <f>C37/C45</f>
        <v>0.004882775928496609</v>
      </c>
      <c r="E37" s="15"/>
      <c r="F37" s="15"/>
      <c r="G37" s="7"/>
      <c r="H37" s="7"/>
      <c r="I37" s="7"/>
      <c r="J37" s="7">
        <f>$C37*J38</f>
        <v>682.2860000000001</v>
      </c>
      <c r="K37" s="7">
        <f>$C37*K38</f>
        <v>1023.4290000000001</v>
      </c>
      <c r="L37" s="59">
        <f>$C37*L38</f>
        <v>1705.7150000000001</v>
      </c>
      <c r="M37" s="7"/>
      <c r="N37" s="7"/>
      <c r="O37" s="2"/>
      <c r="P37" s="58"/>
      <c r="R37" s="73">
        <f>SUM(J37:L37)</f>
        <v>3411.4300000000003</v>
      </c>
    </row>
    <row r="38" spans="1:18" ht="15">
      <c r="A38" s="443"/>
      <c r="B38" s="445"/>
      <c r="C38" s="9"/>
      <c r="D38" s="10"/>
      <c r="E38" s="16"/>
      <c r="F38" s="16"/>
      <c r="G38" s="11"/>
      <c r="H38" s="11"/>
      <c r="I38" s="11"/>
      <c r="J38" s="11">
        <v>0.2</v>
      </c>
      <c r="K38" s="11">
        <v>0.3</v>
      </c>
      <c r="L38" s="56">
        <v>0.5</v>
      </c>
      <c r="M38" s="11"/>
      <c r="N38" s="11"/>
      <c r="O38" s="2"/>
      <c r="P38" s="58"/>
      <c r="R38" s="74"/>
    </row>
    <row r="39" spans="1:18" ht="15">
      <c r="A39" s="442" t="s">
        <v>223</v>
      </c>
      <c r="B39" s="444" t="s">
        <v>157</v>
      </c>
      <c r="C39" s="13">
        <f>'PLANILHA ORÇ.'!J271</f>
        <v>20623.99</v>
      </c>
      <c r="D39" s="14">
        <f>C39/C45</f>
        <v>0.029519093729478484</v>
      </c>
      <c r="E39" s="15"/>
      <c r="F39" s="15"/>
      <c r="G39" s="7"/>
      <c r="H39" s="7"/>
      <c r="I39" s="7"/>
      <c r="J39" s="7"/>
      <c r="K39" s="2"/>
      <c r="L39" s="59">
        <f>$C39*L40</f>
        <v>8249.596000000001</v>
      </c>
      <c r="M39" s="7">
        <f>$C39*M40</f>
        <v>6187.197</v>
      </c>
      <c r="N39" s="7">
        <f>$C39*N40</f>
        <v>6187.197</v>
      </c>
      <c r="O39" s="2"/>
      <c r="P39" s="58"/>
      <c r="R39" s="73">
        <f>SUM(L39:N39)</f>
        <v>20623.99</v>
      </c>
    </row>
    <row r="40" spans="1:18" ht="15">
      <c r="A40" s="443"/>
      <c r="B40" s="445"/>
      <c r="C40" s="9"/>
      <c r="D40" s="10"/>
      <c r="E40" s="16"/>
      <c r="F40" s="16"/>
      <c r="G40" s="11"/>
      <c r="H40" s="11"/>
      <c r="I40" s="11"/>
      <c r="J40" s="11"/>
      <c r="K40" s="2"/>
      <c r="L40" s="56">
        <v>0.4</v>
      </c>
      <c r="M40" s="11">
        <v>0.3</v>
      </c>
      <c r="N40" s="11">
        <v>0.3</v>
      </c>
      <c r="O40" s="2"/>
      <c r="P40" s="58"/>
      <c r="R40" s="74"/>
    </row>
    <row r="41" spans="1:18" ht="15">
      <c r="A41" s="442" t="s">
        <v>224</v>
      </c>
      <c r="B41" s="444" t="s">
        <v>164</v>
      </c>
      <c r="C41" s="13">
        <f>'PLANILHA ORÇ.'!J278</f>
        <v>94752.1</v>
      </c>
      <c r="D41" s="14">
        <f>C41/C45</f>
        <v>0.1356185743381818</v>
      </c>
      <c r="E41" s="15"/>
      <c r="F41" s="7"/>
      <c r="G41" s="7"/>
      <c r="H41" s="7"/>
      <c r="I41" s="7"/>
      <c r="J41" s="7"/>
      <c r="K41" s="7"/>
      <c r="L41" s="59"/>
      <c r="M41" s="7">
        <f>$C41*M42</f>
        <v>23688.025</v>
      </c>
      <c r="N41" s="7">
        <f>$C41*N42</f>
        <v>23688.025</v>
      </c>
      <c r="O41" s="7">
        <f>$C41*O42</f>
        <v>23688.025</v>
      </c>
      <c r="P41" s="8">
        <f>$C41*P42</f>
        <v>23688.025</v>
      </c>
      <c r="R41" s="73">
        <f>SUM(M41:P41)</f>
        <v>94752.1</v>
      </c>
    </row>
    <row r="42" spans="1:18" ht="20.25" customHeight="1">
      <c r="A42" s="443"/>
      <c r="B42" s="445"/>
      <c r="C42" s="9"/>
      <c r="D42" s="10"/>
      <c r="E42" s="16"/>
      <c r="F42" s="11"/>
      <c r="G42" s="11"/>
      <c r="H42" s="11"/>
      <c r="I42" s="11"/>
      <c r="J42" s="11"/>
      <c r="K42" s="11"/>
      <c r="L42" s="56"/>
      <c r="M42" s="11">
        <v>0.25</v>
      </c>
      <c r="N42" s="11">
        <v>0.25</v>
      </c>
      <c r="O42" s="11">
        <v>0.25</v>
      </c>
      <c r="P42" s="12">
        <v>0.25</v>
      </c>
      <c r="R42" s="74"/>
    </row>
    <row r="43" spans="1:18" ht="19.5" customHeight="1">
      <c r="A43" s="442" t="s">
        <v>225</v>
      </c>
      <c r="B43" s="444" t="s">
        <v>170</v>
      </c>
      <c r="C43" s="13">
        <f>'PLANILHA ORÇ.'!J285</f>
        <v>1716.74</v>
      </c>
      <c r="D43" s="14">
        <f>C43/C45</f>
        <v>0.0024571680343689504</v>
      </c>
      <c r="E43" s="7"/>
      <c r="F43" s="7"/>
      <c r="G43" s="7"/>
      <c r="H43" s="7"/>
      <c r="I43" s="2"/>
      <c r="J43" s="7"/>
      <c r="K43" s="7"/>
      <c r="L43" s="59"/>
      <c r="M43" s="7">
        <f>$C43*M44</f>
        <v>171.674</v>
      </c>
      <c r="N43" s="7">
        <f>$C43*N44</f>
        <v>515.0219999999999</v>
      </c>
      <c r="O43" s="7">
        <f>$C43*O44</f>
        <v>515.0219999999999</v>
      </c>
      <c r="P43" s="8">
        <f>$C43*P44</f>
        <v>515.0219999999999</v>
      </c>
      <c r="R43" s="73">
        <f>SUM(M43:P43)</f>
        <v>1716.7399999999998</v>
      </c>
    </row>
    <row r="44" spans="1:18" ht="21" customHeight="1">
      <c r="A44" s="443"/>
      <c r="B44" s="445"/>
      <c r="C44" s="9"/>
      <c r="D44" s="10"/>
      <c r="E44" s="11"/>
      <c r="F44" s="11"/>
      <c r="G44" s="11"/>
      <c r="H44" s="11"/>
      <c r="I44" s="2"/>
      <c r="J44" s="11"/>
      <c r="K44" s="11"/>
      <c r="L44" s="56"/>
      <c r="M44" s="11">
        <v>0.1</v>
      </c>
      <c r="N44" s="11">
        <v>0.3</v>
      </c>
      <c r="O44" s="11">
        <v>0.3</v>
      </c>
      <c r="P44" s="12">
        <v>0.3</v>
      </c>
      <c r="R44" s="74"/>
    </row>
    <row r="45" spans="1:18" ht="15">
      <c r="A45" s="484" t="s">
        <v>226</v>
      </c>
      <c r="B45" s="485"/>
      <c r="C45" s="488">
        <f>SUM(C7:C44)</f>
        <v>698666.0969000001</v>
      </c>
      <c r="D45" s="490">
        <f>SUM(D7:D44)</f>
        <v>0.9999999999999996</v>
      </c>
      <c r="E45" s="483"/>
      <c r="F45" s="483"/>
      <c r="G45" s="483"/>
      <c r="H45" s="483"/>
      <c r="I45" s="483"/>
      <c r="J45" s="483"/>
      <c r="K45" s="483"/>
      <c r="L45" s="492"/>
      <c r="M45" s="483"/>
      <c r="N45" s="483"/>
      <c r="O45" s="493"/>
      <c r="P45" s="495"/>
      <c r="R45" s="75" t="e">
        <f>SUM(R7:R44)+C9+#REF!</f>
        <v>#REF!</v>
      </c>
    </row>
    <row r="46" spans="1:16" ht="15">
      <c r="A46" s="486"/>
      <c r="B46" s="487"/>
      <c r="C46" s="489"/>
      <c r="D46" s="491"/>
      <c r="E46" s="483"/>
      <c r="F46" s="483"/>
      <c r="G46" s="483"/>
      <c r="H46" s="483"/>
      <c r="I46" s="483"/>
      <c r="J46" s="483"/>
      <c r="K46" s="483"/>
      <c r="L46" s="492"/>
      <c r="M46" s="483"/>
      <c r="N46" s="483"/>
      <c r="O46" s="494"/>
      <c r="P46" s="496"/>
    </row>
    <row r="47" spans="1:16" ht="15">
      <c r="A47" s="17"/>
      <c r="B47" s="18"/>
      <c r="C47" s="19" t="s">
        <v>227</v>
      </c>
      <c r="D47" s="20" t="s">
        <v>205</v>
      </c>
      <c r="E47" s="15">
        <f>SUM(E7,E9,E11)</f>
        <v>31956.838000000003</v>
      </c>
      <c r="F47" s="15">
        <f>(F7+F11+F13+F15+F27+F31+F33)</f>
        <v>75727.86684</v>
      </c>
      <c r="G47" s="15">
        <f>G11+G13+G15+G27+G31+G35+G23</f>
        <v>88266.38633999998</v>
      </c>
      <c r="H47" s="15">
        <f>H11+H13+H15+H19+H27+H31</f>
        <v>54105.33918</v>
      </c>
      <c r="I47" s="15">
        <f>I13+I15+I17+I19+I21+I23+I25+I27+I33+I35</f>
        <v>86053.9475</v>
      </c>
      <c r="J47" s="15">
        <f>J13+J15+J17+J19+J21+J23+J25+J27+J31+J33+J35+J37</f>
        <v>72247.91818000001</v>
      </c>
      <c r="K47" s="15">
        <f>K11+K15+K17+K19+K21+K25+K27+K29+K31+K33+K35+K37</f>
        <v>84276.96608</v>
      </c>
      <c r="L47" s="61">
        <f>L11+L17+L19+L21+L25+L27+L29+L31+L33+L35+L37+L39</f>
        <v>77724.75473</v>
      </c>
      <c r="M47" s="15">
        <f>M23+M29+M39+M41+M43</f>
        <v>49509.74205</v>
      </c>
      <c r="N47" s="62">
        <f>N23+N39+N41+N43</f>
        <v>30390.244000000002</v>
      </c>
      <c r="O47" s="63">
        <f>O41+O43</f>
        <v>24203.047000000002</v>
      </c>
      <c r="P47" s="64">
        <f>P41+P43</f>
        <v>24203.047000000002</v>
      </c>
    </row>
    <row r="48" spans="1:16" ht="15">
      <c r="A48" s="21"/>
      <c r="B48" s="22"/>
      <c r="C48" s="23" t="s">
        <v>228</v>
      </c>
      <c r="D48" s="24" t="s">
        <v>206</v>
      </c>
      <c r="E48" s="16">
        <f aca="true" t="shared" si="2" ref="E48:L48">E47/$C45</f>
        <v>0.04573978634685916</v>
      </c>
      <c r="F48" s="16">
        <f t="shared" si="2"/>
        <v>0.1083892107775181</v>
      </c>
      <c r="G48" s="16">
        <f t="shared" si="2"/>
        <v>0.12633557965906786</v>
      </c>
      <c r="H48" s="16">
        <f t="shared" si="2"/>
        <v>0.07744091121648355</v>
      </c>
      <c r="I48" s="16">
        <f t="shared" si="2"/>
        <v>0.12316891843159934</v>
      </c>
      <c r="J48" s="16">
        <f t="shared" si="2"/>
        <v>0.10340836416789927</v>
      </c>
      <c r="K48" s="16">
        <f t="shared" si="2"/>
        <v>0.12062552692042611</v>
      </c>
      <c r="L48" s="65">
        <f t="shared" si="2"/>
        <v>0.1112473541722817</v>
      </c>
      <c r="M48" s="16">
        <f>M47/$C45</f>
        <v>0.07086323820445278</v>
      </c>
      <c r="N48" s="66">
        <f>N47/$C45</f>
        <v>0.043497522113699685</v>
      </c>
      <c r="O48" s="67">
        <f>O47/$C45</f>
        <v>0.03464179399485614</v>
      </c>
      <c r="P48" s="68">
        <f>P47/$C45</f>
        <v>0.03464179399485614</v>
      </c>
    </row>
    <row r="49" spans="1:16" ht="15">
      <c r="A49" s="21"/>
      <c r="B49" s="22"/>
      <c r="C49" s="23" t="s">
        <v>229</v>
      </c>
      <c r="D49" s="25" t="s">
        <v>205</v>
      </c>
      <c r="E49" s="15">
        <f>E47</f>
        <v>31956.838000000003</v>
      </c>
      <c r="F49" s="15">
        <f aca="true" t="shared" si="3" ref="F49:N50">F47+E49</f>
        <v>107684.70484</v>
      </c>
      <c r="G49" s="15">
        <f t="shared" si="3"/>
        <v>195951.09118</v>
      </c>
      <c r="H49" s="15">
        <f t="shared" si="3"/>
        <v>250056.43036</v>
      </c>
      <c r="I49" s="15">
        <f t="shared" si="3"/>
        <v>336110.37786</v>
      </c>
      <c r="J49" s="15">
        <f t="shared" si="3"/>
        <v>408358.29604000004</v>
      </c>
      <c r="K49" s="15">
        <f t="shared" si="3"/>
        <v>492635.26212</v>
      </c>
      <c r="L49" s="61">
        <f t="shared" si="3"/>
        <v>570360.01685</v>
      </c>
      <c r="M49" s="15">
        <f t="shared" si="3"/>
        <v>619869.7589</v>
      </c>
      <c r="N49" s="62">
        <f t="shared" si="3"/>
        <v>650260.0029</v>
      </c>
      <c r="O49" s="63">
        <f>O47+N49</f>
        <v>674463.0499</v>
      </c>
      <c r="P49" s="64">
        <f>O49+P47</f>
        <v>698666.0969</v>
      </c>
    </row>
    <row r="50" spans="1:16" ht="15.75" thickBot="1">
      <c r="A50" s="26"/>
      <c r="B50" s="27"/>
      <c r="C50" s="28" t="s">
        <v>230</v>
      </c>
      <c r="D50" s="29" t="s">
        <v>206</v>
      </c>
      <c r="E50" s="30">
        <f>E48</f>
        <v>0.04573978634685916</v>
      </c>
      <c r="F50" s="30">
        <f t="shared" si="3"/>
        <v>0.15412899712437728</v>
      </c>
      <c r="G50" s="30">
        <f t="shared" si="3"/>
        <v>0.28046457678344516</v>
      </c>
      <c r="H50" s="30">
        <f t="shared" si="3"/>
        <v>0.3579054879999287</v>
      </c>
      <c r="I50" s="30">
        <f t="shared" si="3"/>
        <v>0.48107440643152805</v>
      </c>
      <c r="J50" s="30">
        <f t="shared" si="3"/>
        <v>0.5844827705994273</v>
      </c>
      <c r="K50" s="30">
        <f t="shared" si="3"/>
        <v>0.7051082975198535</v>
      </c>
      <c r="L50" s="69">
        <f t="shared" si="3"/>
        <v>0.8163556516921352</v>
      </c>
      <c r="M50" s="30">
        <f t="shared" si="3"/>
        <v>0.887218889896588</v>
      </c>
      <c r="N50" s="70">
        <f t="shared" si="3"/>
        <v>0.9307164120102878</v>
      </c>
      <c r="O50" s="71">
        <f>O48+N50</f>
        <v>0.9653582060051439</v>
      </c>
      <c r="P50" s="72">
        <f>O50+P48</f>
        <v>1</v>
      </c>
    </row>
  </sheetData>
  <sheetProtection/>
  <mergeCells count="72">
    <mergeCell ref="L45:L46"/>
    <mergeCell ref="M45:M46"/>
    <mergeCell ref="N45:N46"/>
    <mergeCell ref="O45:O46"/>
    <mergeCell ref="P45:P46"/>
    <mergeCell ref="F45:F46"/>
    <mergeCell ref="G45:G46"/>
    <mergeCell ref="H45:H46"/>
    <mergeCell ref="I45:I46"/>
    <mergeCell ref="J45:J46"/>
    <mergeCell ref="A43:A44"/>
    <mergeCell ref="K45:K46"/>
    <mergeCell ref="B43:B44"/>
    <mergeCell ref="A45:B46"/>
    <mergeCell ref="C45:C46"/>
    <mergeCell ref="D45:D46"/>
    <mergeCell ref="E45:E46"/>
    <mergeCell ref="A37:A38"/>
    <mergeCell ref="B33:B34"/>
    <mergeCell ref="A39:A40"/>
    <mergeCell ref="B39:B40"/>
    <mergeCell ref="A41:A42"/>
    <mergeCell ref="B41:B42"/>
    <mergeCell ref="B37:B38"/>
    <mergeCell ref="A31:A32"/>
    <mergeCell ref="B31:B32"/>
    <mergeCell ref="A33:A34"/>
    <mergeCell ref="A35:A36"/>
    <mergeCell ref="B35:B36"/>
    <mergeCell ref="A25:A26"/>
    <mergeCell ref="B25:B26"/>
    <mergeCell ref="A27:A28"/>
    <mergeCell ref="B27:B28"/>
    <mergeCell ref="A29:A30"/>
    <mergeCell ref="A11:A12"/>
    <mergeCell ref="B11:B12"/>
    <mergeCell ref="B29:B30"/>
    <mergeCell ref="B19:B20"/>
    <mergeCell ref="A21:A22"/>
    <mergeCell ref="B21:B22"/>
    <mergeCell ref="A23:A24"/>
    <mergeCell ref="B23:B24"/>
    <mergeCell ref="F5:F6"/>
    <mergeCell ref="G5:G6"/>
    <mergeCell ref="A15:A16"/>
    <mergeCell ref="B15:B16"/>
    <mergeCell ref="A17:A18"/>
    <mergeCell ref="A19:A20"/>
    <mergeCell ref="B17:B18"/>
    <mergeCell ref="B5:B6"/>
    <mergeCell ref="A7:A8"/>
    <mergeCell ref="B7:B8"/>
    <mergeCell ref="A1:P1"/>
    <mergeCell ref="A2:D2"/>
    <mergeCell ref="E2:P4"/>
    <mergeCell ref="A3:D3"/>
    <mergeCell ref="A4:D4"/>
    <mergeCell ref="A5:A6"/>
    <mergeCell ref="P5:P6"/>
    <mergeCell ref="H5:H6"/>
    <mergeCell ref="I5:I6"/>
    <mergeCell ref="E5:E6"/>
    <mergeCell ref="K5:K6"/>
    <mergeCell ref="L5:L6"/>
    <mergeCell ref="A13:A14"/>
    <mergeCell ref="B13:B14"/>
    <mergeCell ref="N5:N6"/>
    <mergeCell ref="O5:O6"/>
    <mergeCell ref="A9:A10"/>
    <mergeCell ref="B9:B10"/>
    <mergeCell ref="M5:M6"/>
    <mergeCell ref="J5:J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headerFooter>
    <oddFooter>&amp;CLuan de Paula Cardoso Ferraz
Engenheiro Civil e Ambiental
CREA MG: 162412/D&amp;R&amp;P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 User</cp:lastModifiedBy>
  <cp:lastPrinted>2019-05-07T19:17:58Z</cp:lastPrinted>
  <dcterms:created xsi:type="dcterms:W3CDTF">2017-04-05T14:39:08Z</dcterms:created>
  <dcterms:modified xsi:type="dcterms:W3CDTF">2019-05-07T19:18:03Z</dcterms:modified>
  <cp:category/>
  <cp:version/>
  <cp:contentType/>
  <cp:contentStatus/>
</cp:coreProperties>
</file>